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-15" yWindow="2565" windowWidth="15480" windowHeight="2145"/>
  </bookViews>
  <sheets>
    <sheet name="Composição de Preços COM Desone" sheetId="25" r:id="rId1"/>
    <sheet name="ORÇAMENTO COM Desoneração" sheetId="42" r:id="rId2"/>
    <sheet name="Plan1" sheetId="43" r:id="rId3"/>
  </sheets>
  <definedNames>
    <definedName name="BDI">#REF!</definedName>
    <definedName name="MEM_A">#REF!</definedName>
    <definedName name="MEN_B">#REF!</definedName>
    <definedName name="ORÇ_A">#REF!</definedName>
    <definedName name="ORÇ_B">#REF!</definedName>
    <definedName name="ORÇ_D">#REF!</definedName>
  </definedNames>
  <calcPr calcId="145621"/>
</workbook>
</file>

<file path=xl/calcChain.xml><?xml version="1.0" encoding="utf-8"?>
<calcChain xmlns="http://schemas.openxmlformats.org/spreadsheetml/2006/main">
  <c r="H113" i="42" l="1"/>
  <c r="I113" i="42" s="1"/>
  <c r="G605" i="25"/>
  <c r="H605" i="25" s="1"/>
  <c r="G604" i="25"/>
  <c r="H604" i="25" s="1"/>
  <c r="G603" i="25"/>
  <c r="H603" i="25" s="1"/>
  <c r="G602" i="25"/>
  <c r="H602" i="25" s="1"/>
  <c r="G601" i="25"/>
  <c r="H601" i="25" s="1"/>
  <c r="G600" i="25"/>
  <c r="H600" i="25" s="1"/>
  <c r="G599" i="25"/>
  <c r="H599" i="25" s="1"/>
  <c r="H606" i="25" s="1"/>
  <c r="G598" i="25" s="1"/>
  <c r="H598" i="25" s="1"/>
  <c r="H97" i="42" l="1"/>
  <c r="I97" i="42" s="1"/>
  <c r="H96" i="42"/>
  <c r="I96" i="42" s="1"/>
  <c r="G501" i="25"/>
  <c r="H501" i="25" s="1"/>
  <c r="G500" i="25"/>
  <c r="H500" i="25" s="1"/>
  <c r="G499" i="25"/>
  <c r="H499" i="25" s="1"/>
  <c r="G498" i="25"/>
  <c r="H498" i="25" s="1"/>
  <c r="G497" i="25"/>
  <c r="H497" i="25" s="1"/>
  <c r="G496" i="25"/>
  <c r="H496" i="25" s="1"/>
  <c r="H502" i="25" l="1"/>
  <c r="G495" i="25" s="1"/>
  <c r="H495" i="25" s="1"/>
  <c r="H488" i="25"/>
  <c r="H486" i="25"/>
  <c r="H478" i="25"/>
  <c r="G493" i="25"/>
  <c r="H493" i="25" s="1"/>
  <c r="G492" i="25"/>
  <c r="H492" i="25" s="1"/>
  <c r="G491" i="25"/>
  <c r="H491" i="25" s="1"/>
  <c r="G490" i="25"/>
  <c r="H490" i="25" s="1"/>
  <c r="G489" i="25"/>
  <c r="H489" i="25" s="1"/>
  <c r="G487" i="25"/>
  <c r="H487" i="25" s="1"/>
  <c r="G485" i="25"/>
  <c r="H485" i="25" s="1"/>
  <c r="G484" i="25"/>
  <c r="H484" i="25" s="1"/>
  <c r="G483" i="25"/>
  <c r="H483" i="25" s="1"/>
  <c r="G482" i="25"/>
  <c r="H482" i="25" s="1"/>
  <c r="G481" i="25"/>
  <c r="H481" i="25" s="1"/>
  <c r="G480" i="25"/>
  <c r="H480" i="25" s="1"/>
  <c r="G479" i="25"/>
  <c r="H479" i="25" s="1"/>
  <c r="G477" i="25"/>
  <c r="H477" i="25" s="1"/>
  <c r="G476" i="25"/>
  <c r="H476" i="25" s="1"/>
  <c r="G475" i="25"/>
  <c r="H475" i="25" s="1"/>
  <c r="G474" i="25"/>
  <c r="H474" i="25" s="1"/>
  <c r="H494" i="25" l="1"/>
  <c r="G473" i="25" s="1"/>
  <c r="H473" i="25" s="1"/>
  <c r="G466" i="25"/>
  <c r="H466" i="25" s="1"/>
  <c r="G465" i="25"/>
  <c r="H465" i="25" s="1"/>
  <c r="G464" i="25"/>
  <c r="H464" i="25" s="1"/>
  <c r="G463" i="25"/>
  <c r="H463" i="25" s="1"/>
  <c r="G460" i="25"/>
  <c r="H460" i="25" s="1"/>
  <c r="G459" i="25"/>
  <c r="H459" i="25" s="1"/>
  <c r="G458" i="25"/>
  <c r="H458" i="25" s="1"/>
  <c r="G457" i="25"/>
  <c r="H457" i="25" s="1"/>
  <c r="H461" i="25" l="1"/>
  <c r="G456" i="25" s="1"/>
  <c r="H456" i="25" s="1"/>
  <c r="H467" i="25"/>
  <c r="G462" i="25" s="1"/>
  <c r="H462" i="25" s="1"/>
  <c r="H141" i="42" l="1"/>
  <c r="I141" i="42" s="1"/>
  <c r="H142" i="42"/>
  <c r="I142" i="42" s="1"/>
  <c r="H140" i="42"/>
  <c r="I140" i="42" s="1"/>
  <c r="H137" i="42"/>
  <c r="I137" i="42" s="1"/>
  <c r="H136" i="42"/>
  <c r="I136" i="42" s="1"/>
  <c r="I138" i="42" s="1"/>
  <c r="H133" i="42"/>
  <c r="I133" i="42" s="1"/>
  <c r="H132" i="42"/>
  <c r="I132" i="42" s="1"/>
  <c r="I134" i="42" s="1"/>
  <c r="H128" i="42"/>
  <c r="I128" i="42" s="1"/>
  <c r="H129" i="42"/>
  <c r="I129" i="42" s="1"/>
  <c r="H127" i="42"/>
  <c r="I127" i="42" s="1"/>
  <c r="H124" i="42"/>
  <c r="I124" i="42" s="1"/>
  <c r="H123" i="42"/>
  <c r="I123" i="42" s="1"/>
  <c r="H117" i="42"/>
  <c r="I117" i="42" s="1"/>
  <c r="H118" i="42"/>
  <c r="I118" i="42" s="1"/>
  <c r="H119" i="42"/>
  <c r="I119" i="42" s="1"/>
  <c r="H120" i="42"/>
  <c r="I120" i="42" s="1"/>
  <c r="H116" i="42"/>
  <c r="I116" i="42" s="1"/>
  <c r="H109" i="42"/>
  <c r="I109" i="42" s="1"/>
  <c r="H110" i="42"/>
  <c r="I110" i="42" s="1"/>
  <c r="H111" i="42"/>
  <c r="I111" i="42" s="1"/>
  <c r="H112" i="42"/>
  <c r="I112" i="42" s="1"/>
  <c r="H108" i="42"/>
  <c r="I108" i="42" s="1"/>
  <c r="H79" i="42"/>
  <c r="I79" i="42" s="1"/>
  <c r="H80" i="42"/>
  <c r="I80" i="42" s="1"/>
  <c r="H81" i="42"/>
  <c r="I81" i="42" s="1"/>
  <c r="H82" i="42"/>
  <c r="I82" i="42" s="1"/>
  <c r="H83" i="42"/>
  <c r="I83" i="42" s="1"/>
  <c r="H84" i="42"/>
  <c r="I84" i="42" s="1"/>
  <c r="H85" i="42"/>
  <c r="I85" i="42" s="1"/>
  <c r="H86" i="42"/>
  <c r="I86" i="42" s="1"/>
  <c r="H88" i="42"/>
  <c r="I88" i="42" s="1"/>
  <c r="H89" i="42"/>
  <c r="I89" i="42" s="1"/>
  <c r="H90" i="42"/>
  <c r="I90" i="42" s="1"/>
  <c r="H91" i="42"/>
  <c r="I91" i="42" s="1"/>
  <c r="H92" i="42"/>
  <c r="I92" i="42" s="1"/>
  <c r="H93" i="42"/>
  <c r="I93" i="42" s="1"/>
  <c r="H94" i="42"/>
  <c r="I94" i="42" s="1"/>
  <c r="H95" i="42"/>
  <c r="I95" i="42" s="1"/>
  <c r="H99" i="42"/>
  <c r="I99" i="42" s="1"/>
  <c r="H100" i="42"/>
  <c r="I100" i="42" s="1"/>
  <c r="H101" i="42"/>
  <c r="I101" i="42" s="1"/>
  <c r="H102" i="42"/>
  <c r="I102" i="42" s="1"/>
  <c r="H103" i="42"/>
  <c r="I103" i="42" s="1"/>
  <c r="H104" i="42"/>
  <c r="I104" i="42" s="1"/>
  <c r="H105" i="42"/>
  <c r="I105" i="42" s="1"/>
  <c r="H78" i="42"/>
  <c r="I78" i="42" s="1"/>
  <c r="H75" i="42"/>
  <c r="I75" i="42" s="1"/>
  <c r="H74" i="42"/>
  <c r="I74" i="42" s="1"/>
  <c r="I76" i="42" l="1"/>
  <c r="I125" i="42"/>
  <c r="I121" i="42"/>
  <c r="I106" i="42"/>
  <c r="I114" i="42"/>
  <c r="I130" i="42"/>
  <c r="I143" i="42"/>
  <c r="H28" i="42"/>
  <c r="I28" i="42" s="1"/>
  <c r="H29" i="42"/>
  <c r="I29" i="42" s="1"/>
  <c r="H30" i="42"/>
  <c r="I30" i="42" s="1"/>
  <c r="H31" i="42"/>
  <c r="I31" i="42" s="1"/>
  <c r="H32" i="42"/>
  <c r="I32" i="42" s="1"/>
  <c r="H33" i="42"/>
  <c r="I33" i="42" s="1"/>
  <c r="H27" i="42"/>
  <c r="I27" i="42" s="1"/>
  <c r="H49" i="42"/>
  <c r="I49" i="42" s="1"/>
  <c r="H50" i="42"/>
  <c r="I50" i="42" s="1"/>
  <c r="H51" i="42"/>
  <c r="I51" i="42" s="1"/>
  <c r="H52" i="42"/>
  <c r="I52" i="42" s="1"/>
  <c r="H53" i="42"/>
  <c r="I53" i="42" s="1"/>
  <c r="H54" i="42"/>
  <c r="I54" i="42" s="1"/>
  <c r="H55" i="42"/>
  <c r="I55" i="42" s="1"/>
  <c r="H56" i="42"/>
  <c r="I56" i="42" s="1"/>
  <c r="H57" i="42"/>
  <c r="I57" i="42" s="1"/>
  <c r="H58" i="42"/>
  <c r="I58" i="42" s="1"/>
  <c r="H59" i="42"/>
  <c r="I59" i="42" s="1"/>
  <c r="H60" i="42"/>
  <c r="I60" i="42" s="1"/>
  <c r="H61" i="42"/>
  <c r="I61" i="42" s="1"/>
  <c r="H62" i="42"/>
  <c r="I62" i="42" s="1"/>
  <c r="H63" i="42"/>
  <c r="I63" i="42" s="1"/>
  <c r="H38" i="42"/>
  <c r="I38" i="42" s="1"/>
  <c r="H39" i="42"/>
  <c r="I39" i="42" s="1"/>
  <c r="H40" i="42"/>
  <c r="I40" i="42" s="1"/>
  <c r="H41" i="42"/>
  <c r="I41" i="42" s="1"/>
  <c r="H42" i="42"/>
  <c r="I42" i="42" s="1"/>
  <c r="H43" i="42"/>
  <c r="I43" i="42" s="1"/>
  <c r="H44" i="42"/>
  <c r="I44" i="42" s="1"/>
  <c r="H45" i="42"/>
  <c r="I45" i="42" s="1"/>
  <c r="H68" i="42"/>
  <c r="I68" i="42" s="1"/>
  <c r="H70" i="42"/>
  <c r="I70" i="42" s="1"/>
  <c r="H67" i="42"/>
  <c r="I67" i="42" s="1"/>
  <c r="I71" i="42" l="1"/>
  <c r="I34" i="42"/>
  <c r="H48" i="42"/>
  <c r="I48" i="42" s="1"/>
  <c r="I64" i="42" s="1"/>
  <c r="H37" i="42"/>
  <c r="I37" i="42" s="1"/>
  <c r="I46" i="42" s="1"/>
  <c r="H21" i="42"/>
  <c r="I21" i="42" s="1"/>
  <c r="H22" i="42"/>
  <c r="I22" i="42" s="1"/>
  <c r="H23" i="42"/>
  <c r="I23" i="42" s="1"/>
  <c r="H24" i="42"/>
  <c r="I24" i="42" s="1"/>
  <c r="H20" i="42"/>
  <c r="I20" i="42" s="1"/>
  <c r="I25" i="42" l="1"/>
  <c r="I148" i="42"/>
  <c r="G722" i="25"/>
  <c r="H722" i="25" s="1"/>
  <c r="G721" i="25"/>
  <c r="H721" i="25" s="1"/>
  <c r="G720" i="25"/>
  <c r="H720" i="25" s="1"/>
  <c r="I147" i="42" l="1"/>
  <c r="H723" i="25"/>
  <c r="G719" i="25" s="1"/>
  <c r="H719" i="25" s="1"/>
  <c r="G343" i="25"/>
  <c r="G318" i="25"/>
  <c r="H318" i="25" s="1"/>
  <c r="G353" i="25"/>
  <c r="G352" i="25"/>
  <c r="G351" i="25"/>
  <c r="G350" i="25"/>
  <c r="G349" i="25"/>
  <c r="G348" i="25"/>
  <c r="G347" i="25"/>
  <c r="G346" i="25"/>
  <c r="G345" i="25"/>
  <c r="G344" i="25"/>
  <c r="G342" i="25"/>
  <c r="H342" i="25" s="1"/>
  <c r="G341" i="25"/>
  <c r="H341" i="25" s="1"/>
  <c r="G340" i="25"/>
  <c r="G339" i="25"/>
  <c r="G338" i="25"/>
  <c r="G337" i="25"/>
  <c r="G336" i="25"/>
  <c r="G335" i="25"/>
  <c r="G334" i="25"/>
  <c r="G333" i="25"/>
  <c r="G332" i="25"/>
  <c r="G331" i="25"/>
  <c r="G330" i="25"/>
  <c r="G329" i="25"/>
  <c r="G328" i="25"/>
  <c r="G327" i="25"/>
  <c r="G324" i="25"/>
  <c r="G323" i="25"/>
  <c r="G322" i="25"/>
  <c r="G321" i="25"/>
  <c r="G320" i="25"/>
  <c r="G319" i="25"/>
  <c r="H319" i="25" s="1"/>
  <c r="G317" i="25"/>
  <c r="G316" i="25"/>
  <c r="G315" i="25"/>
  <c r="I149" i="42" l="1"/>
  <c r="J113" i="42" s="1"/>
  <c r="H325" i="25"/>
  <c r="G314" i="25" s="1"/>
  <c r="H314" i="25" s="1"/>
  <c r="H354" i="25"/>
  <c r="G326" i="25" s="1"/>
  <c r="H326" i="25" s="1"/>
  <c r="G651" i="25"/>
  <c r="H651" i="25" s="1"/>
  <c r="G650" i="25"/>
  <c r="H650" i="25" s="1"/>
  <c r="G649" i="25"/>
  <c r="H649" i="25" s="1"/>
  <c r="G648" i="25"/>
  <c r="H648" i="25" s="1"/>
  <c r="G647" i="25"/>
  <c r="H647" i="25" s="1"/>
  <c r="G646" i="25"/>
  <c r="H646" i="25" s="1"/>
  <c r="J96" i="42" l="1"/>
  <c r="J97" i="42"/>
  <c r="J79" i="42"/>
  <c r="J83" i="42"/>
  <c r="J110" i="42"/>
  <c r="J116" i="42"/>
  <c r="J136" i="42"/>
  <c r="J141" i="42"/>
  <c r="J149" i="42"/>
  <c r="J93" i="42"/>
  <c r="J80" i="42"/>
  <c r="J128" i="42"/>
  <c r="J129" i="42"/>
  <c r="J140" i="42"/>
  <c r="J78" i="42"/>
  <c r="J94" i="42"/>
  <c r="J108" i="42"/>
  <c r="J133" i="42"/>
  <c r="J81" i="42"/>
  <c r="J127" i="42"/>
  <c r="J85" i="42"/>
  <c r="J92" i="42"/>
  <c r="J111" i="42"/>
  <c r="J137" i="42"/>
  <c r="J105" i="42"/>
  <c r="J119" i="42"/>
  <c r="J103" i="42"/>
  <c r="J101" i="42"/>
  <c r="J90" i="42"/>
  <c r="J109" i="42"/>
  <c r="J142" i="42"/>
  <c r="J75" i="42"/>
  <c r="J84" i="42"/>
  <c r="J123" i="42"/>
  <c r="J91" i="42"/>
  <c r="J132" i="42"/>
  <c r="J112" i="42"/>
  <c r="J82" i="42"/>
  <c r="J117" i="42"/>
  <c r="J88" i="42"/>
  <c r="J120" i="42"/>
  <c r="J99" i="42"/>
  <c r="J95" i="42"/>
  <c r="J124" i="42"/>
  <c r="J89" i="42"/>
  <c r="J104" i="42"/>
  <c r="J86" i="42"/>
  <c r="J118" i="42"/>
  <c r="J102" i="42"/>
  <c r="J100" i="42"/>
  <c r="J70" i="42"/>
  <c r="J28" i="42"/>
  <c r="J30" i="42"/>
  <c r="J33" i="42"/>
  <c r="J74" i="42"/>
  <c r="J29" i="42"/>
  <c r="J143" i="42"/>
  <c r="J31" i="42"/>
  <c r="J27" i="42"/>
  <c r="J68" i="42"/>
  <c r="J106" i="42"/>
  <c r="J67" i="42"/>
  <c r="J32" i="42"/>
  <c r="J23" i="42"/>
  <c r="J61" i="42"/>
  <c r="J34" i="42"/>
  <c r="J45" i="42"/>
  <c r="J56" i="42"/>
  <c r="J58" i="42"/>
  <c r="J21" i="42"/>
  <c r="J59" i="42"/>
  <c r="J39" i="42"/>
  <c r="J37" i="42"/>
  <c r="J57" i="42"/>
  <c r="J62" i="42"/>
  <c r="J41" i="42"/>
  <c r="J52" i="42"/>
  <c r="J20" i="42"/>
  <c r="J44" i="42"/>
  <c r="J55" i="42"/>
  <c r="J54" i="42"/>
  <c r="J42" i="42"/>
  <c r="J53" i="42"/>
  <c r="J50" i="42"/>
  <c r="J48" i="42"/>
  <c r="J134" i="42"/>
  <c r="J71" i="42"/>
  <c r="J40" i="42"/>
  <c r="J51" i="42"/>
  <c r="J138" i="42"/>
  <c r="J38" i="42"/>
  <c r="J49" i="42"/>
  <c r="J22" i="42"/>
  <c r="J60" i="42"/>
  <c r="J43" i="42"/>
  <c r="J24" i="42"/>
  <c r="J63" i="42"/>
  <c r="J76" i="42"/>
  <c r="J148" i="42"/>
  <c r="J121" i="42"/>
  <c r="J46" i="42"/>
  <c r="J114" i="42"/>
  <c r="J130" i="42"/>
  <c r="J64" i="42"/>
  <c r="J25" i="42"/>
  <c r="J125" i="42"/>
  <c r="J147" i="42"/>
  <c r="H652" i="25"/>
  <c r="G669" i="25" l="1"/>
  <c r="G668" i="25"/>
  <c r="G667" i="25"/>
  <c r="G666" i="25"/>
  <c r="G665" i="25"/>
  <c r="G664" i="25"/>
  <c r="H664" i="25" s="1"/>
  <c r="G663" i="25"/>
  <c r="H663" i="25" s="1"/>
  <c r="G662" i="25"/>
  <c r="H662" i="25" s="1"/>
  <c r="G661" i="25"/>
  <c r="H661" i="25" s="1"/>
  <c r="G660" i="25"/>
  <c r="G659" i="25"/>
  <c r="H659" i="25" s="1"/>
  <c r="G658" i="25"/>
  <c r="H658" i="25" s="1"/>
  <c r="G657" i="25"/>
  <c r="H657" i="25" s="1"/>
  <c r="G656" i="25"/>
  <c r="G655" i="25"/>
  <c r="G654" i="25"/>
  <c r="H670" i="25" l="1"/>
  <c r="G653" i="25" s="1"/>
  <c r="H653" i="25" s="1"/>
  <c r="G193" i="25"/>
  <c r="H193" i="25" s="1"/>
  <c r="H194" i="25" s="1"/>
  <c r="G192" i="25"/>
  <c r="H192" i="25" s="1"/>
  <c r="G163" i="25"/>
  <c r="H163" i="25" s="1"/>
  <c r="H164" i="25" s="1"/>
  <c r="G161" i="25" s="1"/>
  <c r="H161" i="25" s="1"/>
  <c r="G162" i="25"/>
  <c r="G159" i="25"/>
  <c r="H159" i="25" s="1"/>
  <c r="H160" i="25" s="1"/>
  <c r="G158" i="25"/>
  <c r="H158" i="25" s="1"/>
  <c r="G569" i="25" l="1"/>
  <c r="H569" i="25" s="1"/>
  <c r="G568" i="25"/>
  <c r="H568" i="25" s="1"/>
  <c r="G567" i="25"/>
  <c r="H567" i="25" s="1"/>
  <c r="G566" i="25"/>
  <c r="H566" i="25" s="1"/>
  <c r="G565" i="25"/>
  <c r="H565" i="25" s="1"/>
  <c r="G564" i="25"/>
  <c r="H564" i="25" s="1"/>
  <c r="G563" i="25"/>
  <c r="H563" i="25" s="1"/>
  <c r="G562" i="25"/>
  <c r="H562" i="25" s="1"/>
  <c r="G561" i="25"/>
  <c r="H561" i="25" s="1"/>
  <c r="G596" i="25"/>
  <c r="H596" i="25" s="1"/>
  <c r="G595" i="25"/>
  <c r="H595" i="25" s="1"/>
  <c r="G594" i="25"/>
  <c r="H594" i="25" s="1"/>
  <c r="G593" i="25"/>
  <c r="H593" i="25" s="1"/>
  <c r="G592" i="25"/>
  <c r="H592" i="25" s="1"/>
  <c r="G591" i="25"/>
  <c r="H591" i="25" s="1"/>
  <c r="G590" i="25"/>
  <c r="H590" i="25" s="1"/>
  <c r="H570" i="25" l="1"/>
  <c r="G560" i="25" s="1"/>
  <c r="H560" i="25" s="1"/>
  <c r="H597" i="25"/>
  <c r="G589" i="25" s="1"/>
  <c r="H589" i="25" s="1"/>
  <c r="H555" i="25"/>
  <c r="G558" i="25"/>
  <c r="H558" i="25" s="1"/>
  <c r="G557" i="25"/>
  <c r="H557" i="25" s="1"/>
  <c r="G556" i="25"/>
  <c r="H556" i="25" s="1"/>
  <c r="G554" i="25"/>
  <c r="H559" i="25" l="1"/>
  <c r="G553" i="25" s="1"/>
  <c r="H553" i="25" s="1"/>
  <c r="G717" i="25" l="1"/>
  <c r="H717" i="25" s="1"/>
  <c r="G716" i="25"/>
  <c r="H716" i="25" s="1"/>
  <c r="G715" i="25"/>
  <c r="H715" i="25" s="1"/>
  <c r="G714" i="25"/>
  <c r="H714" i="25" s="1"/>
  <c r="H718" i="25" l="1"/>
  <c r="G713" i="25" s="1"/>
  <c r="H713" i="25" s="1"/>
  <c r="G124" i="25"/>
  <c r="H124" i="25" s="1"/>
  <c r="G123" i="25"/>
  <c r="H123" i="25" s="1"/>
  <c r="G122" i="25"/>
  <c r="H122" i="25" s="1"/>
  <c r="H125" i="25" l="1"/>
  <c r="G121" i="25" s="1"/>
  <c r="H121" i="25" s="1"/>
  <c r="G249" i="25"/>
  <c r="H249" i="25" s="1"/>
  <c r="G248" i="25"/>
  <c r="H248" i="25" s="1"/>
  <c r="G247" i="25"/>
  <c r="H247" i="25" s="1"/>
  <c r="G246" i="25"/>
  <c r="H246" i="25" s="1"/>
  <c r="G245" i="25"/>
  <c r="H245" i="25" s="1"/>
  <c r="G244" i="25"/>
  <c r="H244" i="25" s="1"/>
  <c r="G243" i="25"/>
  <c r="H243" i="25" s="1"/>
  <c r="G242" i="25"/>
  <c r="H242" i="25" s="1"/>
  <c r="G241" i="25"/>
  <c r="H241" i="25" s="1"/>
  <c r="G240" i="25"/>
  <c r="H240" i="25" s="1"/>
  <c r="G201" i="25"/>
  <c r="H201" i="25" s="1"/>
  <c r="H202" i="25" s="1"/>
  <c r="G200" i="25"/>
  <c r="H200" i="25" s="1"/>
  <c r="H250" i="25" l="1"/>
  <c r="G239" i="25" s="1"/>
  <c r="H239" i="25" s="1"/>
  <c r="G737" i="25"/>
  <c r="H737" i="25" s="1"/>
  <c r="G736" i="25"/>
  <c r="H736" i="25" s="1"/>
  <c r="G735" i="25"/>
  <c r="H735" i="25" s="1"/>
  <c r="G732" i="25"/>
  <c r="H732" i="25" s="1"/>
  <c r="G731" i="25"/>
  <c r="H731" i="25" s="1"/>
  <c r="G728" i="25"/>
  <c r="H728" i="25" s="1"/>
  <c r="G727" i="25"/>
  <c r="H727" i="25" s="1"/>
  <c r="G726" i="25"/>
  <c r="H726" i="25" s="1"/>
  <c r="G709" i="25"/>
  <c r="H709" i="25" s="1"/>
  <c r="G708" i="25"/>
  <c r="H708" i="25" s="1"/>
  <c r="G707" i="25"/>
  <c r="H707" i="25" s="1"/>
  <c r="G704" i="25"/>
  <c r="H704" i="25" s="1"/>
  <c r="G703" i="25"/>
  <c r="H703" i="25" s="1"/>
  <c r="G702" i="25"/>
  <c r="H702" i="25" s="1"/>
  <c r="H695" i="25"/>
  <c r="G697" i="25"/>
  <c r="H697" i="25" s="1"/>
  <c r="G696" i="25"/>
  <c r="H696" i="25" s="1"/>
  <c r="G694" i="25"/>
  <c r="G687" i="25"/>
  <c r="H687" i="25" s="1"/>
  <c r="G686" i="25"/>
  <c r="H686" i="25" s="1"/>
  <c r="G685" i="25"/>
  <c r="H685" i="25" s="1"/>
  <c r="G684" i="25"/>
  <c r="H684" i="25" s="1"/>
  <c r="G683" i="25"/>
  <c r="G680" i="25"/>
  <c r="H680" i="25" s="1"/>
  <c r="H681" i="25" s="1"/>
  <c r="G679" i="25"/>
  <c r="H679" i="25" s="1"/>
  <c r="G675" i="25"/>
  <c r="H675" i="25" s="1"/>
  <c r="G674" i="25"/>
  <c r="H674" i="25" s="1"/>
  <c r="G673" i="25"/>
  <c r="H673" i="25" s="1"/>
  <c r="G587" i="25"/>
  <c r="H587" i="25" s="1"/>
  <c r="G586" i="25"/>
  <c r="H586" i="25" s="1"/>
  <c r="G585" i="25"/>
  <c r="H585" i="25" s="1"/>
  <c r="G584" i="25"/>
  <c r="H584" i="25" s="1"/>
  <c r="G583" i="25"/>
  <c r="H583" i="25" s="1"/>
  <c r="G582" i="25"/>
  <c r="H582" i="25" s="1"/>
  <c r="G581" i="25"/>
  <c r="H581" i="25" s="1"/>
  <c r="G578" i="25"/>
  <c r="H578" i="25" s="1"/>
  <c r="G577" i="25"/>
  <c r="H577" i="25" s="1"/>
  <c r="G576" i="25"/>
  <c r="H576" i="25" s="1"/>
  <c r="G575" i="25"/>
  <c r="H575" i="25" s="1"/>
  <c r="G574" i="25"/>
  <c r="H574" i="25" s="1"/>
  <c r="G573" i="25"/>
  <c r="H573" i="25" s="1"/>
  <c r="G572" i="25"/>
  <c r="H572" i="25" s="1"/>
  <c r="H547" i="25"/>
  <c r="G549" i="25"/>
  <c r="H549" i="25" s="1"/>
  <c r="G548" i="25"/>
  <c r="H548" i="25" s="1"/>
  <c r="G546" i="25"/>
  <c r="G543" i="25"/>
  <c r="H543" i="25" s="1"/>
  <c r="G542" i="25"/>
  <c r="H542" i="25" s="1"/>
  <c r="G541" i="25"/>
  <c r="H541" i="25" s="1"/>
  <c r="G538" i="25"/>
  <c r="H538" i="25" s="1"/>
  <c r="G537" i="25"/>
  <c r="H537" i="25" s="1"/>
  <c r="G536" i="25"/>
  <c r="H536" i="25" s="1"/>
  <c r="G533" i="25"/>
  <c r="H533" i="25" s="1"/>
  <c r="G532" i="25"/>
  <c r="H532" i="25" s="1"/>
  <c r="G531" i="25"/>
  <c r="H531" i="25" s="1"/>
  <c r="G528" i="25"/>
  <c r="H528" i="25" s="1"/>
  <c r="G527" i="25"/>
  <c r="H527" i="25" s="1"/>
  <c r="G526" i="25"/>
  <c r="H526" i="25" s="1"/>
  <c r="G525" i="25"/>
  <c r="H525" i="25" s="1"/>
  <c r="G524" i="25"/>
  <c r="H524" i="25" s="1"/>
  <c r="G523" i="25"/>
  <c r="H523" i="25" s="1"/>
  <c r="G520" i="25"/>
  <c r="H520" i="25" s="1"/>
  <c r="G519" i="25"/>
  <c r="H519" i="25" s="1"/>
  <c r="G518" i="25"/>
  <c r="H518" i="25" s="1"/>
  <c r="G517" i="25"/>
  <c r="H517" i="25" s="1"/>
  <c r="G516" i="25"/>
  <c r="H516" i="25" s="1"/>
  <c r="G515" i="25"/>
  <c r="H515" i="25" s="1"/>
  <c r="G514" i="25"/>
  <c r="H514" i="25" s="1"/>
  <c r="G513" i="25"/>
  <c r="H513" i="25" s="1"/>
  <c r="G512" i="25"/>
  <c r="H512" i="25" s="1"/>
  <c r="G511" i="25"/>
  <c r="H511" i="25" s="1"/>
  <c r="G510" i="25"/>
  <c r="H510" i="25" s="1"/>
  <c r="G509" i="25"/>
  <c r="H509" i="25" s="1"/>
  <c r="G508" i="25"/>
  <c r="H508" i="25" s="1"/>
  <c r="G507" i="25"/>
  <c r="H507" i="25" s="1"/>
  <c r="G506" i="25"/>
  <c r="H506" i="25" s="1"/>
  <c r="G471" i="25"/>
  <c r="H471" i="25" s="1"/>
  <c r="G470" i="25"/>
  <c r="H470" i="25" s="1"/>
  <c r="G469" i="25"/>
  <c r="H469" i="25" s="1"/>
  <c r="G133" i="25"/>
  <c r="H133" i="25" s="1"/>
  <c r="G132" i="25"/>
  <c r="H132" i="25" s="1"/>
  <c r="G131" i="25"/>
  <c r="H131" i="25" s="1"/>
  <c r="G130" i="25"/>
  <c r="H130" i="25" s="1"/>
  <c r="G454" i="25"/>
  <c r="H454" i="25" s="1"/>
  <c r="G453" i="25"/>
  <c r="H453" i="25" s="1"/>
  <c r="G452" i="25"/>
  <c r="H452" i="25" s="1"/>
  <c r="G449" i="25"/>
  <c r="H449" i="25" s="1"/>
  <c r="G448" i="25"/>
  <c r="H448" i="25" s="1"/>
  <c r="G447" i="25"/>
  <c r="H447" i="25" s="1"/>
  <c r="G446" i="25"/>
  <c r="H446" i="25" s="1"/>
  <c r="H698" i="25" l="1"/>
  <c r="G693" i="25" s="1"/>
  <c r="H693" i="25" s="1"/>
  <c r="H733" i="25"/>
  <c r="G730" i="25" s="1"/>
  <c r="H730" i="25" s="1"/>
  <c r="H738" i="25"/>
  <c r="G734" i="25" s="1"/>
  <c r="H734" i="25" s="1"/>
  <c r="H729" i="25"/>
  <c r="H688" i="25"/>
  <c r="G682" i="25" s="1"/>
  <c r="H682" i="25" s="1"/>
  <c r="H710" i="25"/>
  <c r="G706" i="25" s="1"/>
  <c r="H706" i="25" s="1"/>
  <c r="H705" i="25"/>
  <c r="G701" i="25" s="1"/>
  <c r="H701" i="25" s="1"/>
  <c r="H550" i="25"/>
  <c r="G545" i="25" s="1"/>
  <c r="H545" i="25" s="1"/>
  <c r="H676" i="25"/>
  <c r="H579" i="25"/>
  <c r="G571" i="25" s="1"/>
  <c r="H571" i="25" s="1"/>
  <c r="H588" i="25"/>
  <c r="G580" i="25" s="1"/>
  <c r="H580" i="25" s="1"/>
  <c r="H529" i="25"/>
  <c r="G522" i="25" s="1"/>
  <c r="H522" i="25" s="1"/>
  <c r="H534" i="25"/>
  <c r="G530" i="25" s="1"/>
  <c r="H530" i="25" s="1"/>
  <c r="H539" i="25"/>
  <c r="G535" i="25" s="1"/>
  <c r="H535" i="25" s="1"/>
  <c r="H544" i="25"/>
  <c r="G540" i="25" s="1"/>
  <c r="H540" i="25" s="1"/>
  <c r="H134" i="25"/>
  <c r="G129" i="25" s="1"/>
  <c r="H129" i="25" s="1"/>
  <c r="H521" i="25"/>
  <c r="G505" i="25" s="1"/>
  <c r="H505" i="25" s="1"/>
  <c r="H472" i="25"/>
  <c r="G468" i="25" s="1"/>
  <c r="H468" i="25" s="1"/>
  <c r="H450" i="25"/>
  <c r="G445" i="25" s="1"/>
  <c r="H445" i="25" s="1"/>
  <c r="H455" i="25"/>
  <c r="G451" i="25" s="1"/>
  <c r="H451" i="25" s="1"/>
  <c r="G438" i="25"/>
  <c r="H438" i="25" s="1"/>
  <c r="G437" i="25"/>
  <c r="H437" i="25" s="1"/>
  <c r="G436" i="25"/>
  <c r="H436" i="25" s="1"/>
  <c r="G435" i="25"/>
  <c r="H435" i="25" s="1"/>
  <c r="G434" i="25"/>
  <c r="H434" i="25" s="1"/>
  <c r="H430" i="25"/>
  <c r="H431" i="25" s="1"/>
  <c r="G429" i="25" s="1"/>
  <c r="H429" i="25" s="1"/>
  <c r="G427" i="25"/>
  <c r="H427" i="25" s="1"/>
  <c r="H428" i="25" s="1"/>
  <c r="G426" i="25"/>
  <c r="H426" i="25" s="1"/>
  <c r="G416" i="25"/>
  <c r="H416" i="25" s="1"/>
  <c r="G415" i="25"/>
  <c r="H415" i="25" s="1"/>
  <c r="G414" i="25"/>
  <c r="H414" i="25" s="1"/>
  <c r="G413" i="25"/>
  <c r="H413" i="25" s="1"/>
  <c r="G412" i="25"/>
  <c r="H412" i="25" s="1"/>
  <c r="G397" i="25"/>
  <c r="H397" i="25" s="1"/>
  <c r="H398" i="25" s="1"/>
  <c r="G396" i="25"/>
  <c r="H396" i="25" s="1"/>
  <c r="G424" i="25"/>
  <c r="H424" i="25" s="1"/>
  <c r="H425" i="25" s="1"/>
  <c r="G423" i="25"/>
  <c r="H423" i="25" s="1"/>
  <c r="H408" i="25"/>
  <c r="H409" i="25" s="1"/>
  <c r="G407" i="25" s="1"/>
  <c r="H407" i="25" s="1"/>
  <c r="H405" i="25"/>
  <c r="G404" i="25"/>
  <c r="H403" i="25"/>
  <c r="G401" i="25"/>
  <c r="H401" i="25" s="1"/>
  <c r="G400" i="25"/>
  <c r="G394" i="25"/>
  <c r="H394" i="25" s="1"/>
  <c r="H395" i="25" s="1"/>
  <c r="G393" i="25"/>
  <c r="H393" i="25" s="1"/>
  <c r="H690" i="25" l="1"/>
  <c r="G443" i="25"/>
  <c r="H443" i="25" s="1"/>
  <c r="H439" i="25"/>
  <c r="G433" i="25" s="1"/>
  <c r="H433" i="25" s="1"/>
  <c r="H417" i="25"/>
  <c r="G411" i="25" s="1"/>
  <c r="H411" i="25" s="1"/>
  <c r="H406" i="25"/>
  <c r="G399" i="25" s="1"/>
  <c r="H399" i="25" s="1"/>
  <c r="H387" i="25"/>
  <c r="G390" i="25"/>
  <c r="H390" i="25" s="1"/>
  <c r="G389" i="25"/>
  <c r="H389" i="25" s="1"/>
  <c r="G388" i="25"/>
  <c r="G386" i="25"/>
  <c r="G385" i="25"/>
  <c r="H379" i="25"/>
  <c r="H378" i="25"/>
  <c r="G382" i="25"/>
  <c r="H382" i="25" s="1"/>
  <c r="G381" i="25"/>
  <c r="H381" i="25" s="1"/>
  <c r="G380" i="25"/>
  <c r="H380" i="25" s="1"/>
  <c r="G377" i="25"/>
  <c r="H372" i="25"/>
  <c r="G374" i="25"/>
  <c r="H374" i="25" s="1"/>
  <c r="G373" i="25"/>
  <c r="H373" i="25" s="1"/>
  <c r="G371" i="25"/>
  <c r="G368" i="25"/>
  <c r="H368" i="25" s="1"/>
  <c r="G367" i="25"/>
  <c r="H367" i="25" s="1"/>
  <c r="G366" i="25"/>
  <c r="H366" i="25" s="1"/>
  <c r="H359" i="25"/>
  <c r="G362" i="25"/>
  <c r="H362" i="25" s="1"/>
  <c r="G361" i="25"/>
  <c r="H361" i="25" s="1"/>
  <c r="G360" i="25"/>
  <c r="H360" i="25" s="1"/>
  <c r="G358" i="25"/>
  <c r="G642" i="25"/>
  <c r="H642" i="25" s="1"/>
  <c r="G641" i="25"/>
  <c r="H641" i="25" s="1"/>
  <c r="G640" i="25"/>
  <c r="H640" i="25" s="1"/>
  <c r="G639" i="25"/>
  <c r="H639" i="25" s="1"/>
  <c r="G638" i="25"/>
  <c r="H638" i="25" s="1"/>
  <c r="G637" i="25"/>
  <c r="H637" i="25" s="1"/>
  <c r="G636" i="25"/>
  <c r="H636" i="25" s="1"/>
  <c r="G635" i="25"/>
  <c r="H635" i="25" s="1"/>
  <c r="G634" i="25"/>
  <c r="H634" i="25" s="1"/>
  <c r="G633" i="25"/>
  <c r="H633" i="25" s="1"/>
  <c r="G630" i="25"/>
  <c r="H630" i="25" s="1"/>
  <c r="G629" i="25"/>
  <c r="H629" i="25" s="1"/>
  <c r="G628" i="25"/>
  <c r="H628" i="25" s="1"/>
  <c r="G627" i="25"/>
  <c r="H627" i="25" s="1"/>
  <c r="G626" i="25"/>
  <c r="H626" i="25" s="1"/>
  <c r="G623" i="25"/>
  <c r="H623" i="25" s="1"/>
  <c r="G622" i="25"/>
  <c r="H622" i="25" s="1"/>
  <c r="G621" i="25"/>
  <c r="H621" i="25" s="1"/>
  <c r="H615" i="25"/>
  <c r="G618" i="25"/>
  <c r="H618" i="25" s="1"/>
  <c r="G617" i="25"/>
  <c r="H617" i="25" s="1"/>
  <c r="G616" i="25"/>
  <c r="H616" i="25" s="1"/>
  <c r="G614" i="25"/>
  <c r="G611" i="25"/>
  <c r="H611" i="25" s="1"/>
  <c r="G610" i="25"/>
  <c r="H610" i="25" s="1"/>
  <c r="G609" i="25"/>
  <c r="H609" i="25" s="1"/>
  <c r="G308" i="25"/>
  <c r="H308" i="25" s="1"/>
  <c r="G307" i="25"/>
  <c r="H307" i="25" s="1"/>
  <c r="G306" i="25"/>
  <c r="H306" i="25" s="1"/>
  <c r="G305" i="25"/>
  <c r="H305" i="25" s="1"/>
  <c r="G304" i="25"/>
  <c r="H304" i="25" s="1"/>
  <c r="G303" i="25"/>
  <c r="H303" i="25" s="1"/>
  <c r="G300" i="25"/>
  <c r="H300" i="25" s="1"/>
  <c r="G299" i="25"/>
  <c r="H299" i="25" s="1"/>
  <c r="G298" i="25"/>
  <c r="H298" i="25" s="1"/>
  <c r="G295" i="25"/>
  <c r="H295" i="25" s="1"/>
  <c r="G294" i="25"/>
  <c r="H294" i="25" s="1"/>
  <c r="G291" i="25"/>
  <c r="H291" i="25" s="1"/>
  <c r="G290" i="25"/>
  <c r="H290" i="25" s="1"/>
  <c r="G289" i="25"/>
  <c r="H289" i="25" s="1"/>
  <c r="G287" i="25"/>
  <c r="G284" i="25"/>
  <c r="H284" i="25" s="1"/>
  <c r="G283" i="25"/>
  <c r="H283" i="25" s="1"/>
  <c r="G282" i="25"/>
  <c r="H282" i="25" s="1"/>
  <c r="G279" i="25"/>
  <c r="H279" i="25" s="1"/>
  <c r="G278" i="25"/>
  <c r="H278" i="25" s="1"/>
  <c r="G275" i="25"/>
  <c r="H275" i="25" s="1"/>
  <c r="G274" i="25"/>
  <c r="H274" i="25" s="1"/>
  <c r="G273" i="25"/>
  <c r="H273" i="25" s="1"/>
  <c r="G272" i="25"/>
  <c r="H272" i="25" s="1"/>
  <c r="G268" i="25"/>
  <c r="H268" i="25" s="1"/>
  <c r="G267" i="25"/>
  <c r="H267" i="25" s="1"/>
  <c r="G264" i="25"/>
  <c r="H264" i="25" s="1"/>
  <c r="G263" i="25"/>
  <c r="H263" i="25" s="1"/>
  <c r="G259" i="25"/>
  <c r="H259" i="25" s="1"/>
  <c r="G258" i="25"/>
  <c r="H258" i="25" s="1"/>
  <c r="G257" i="25"/>
  <c r="H257" i="25" s="1"/>
  <c r="G255" i="25"/>
  <c r="H255" i="25" s="1"/>
  <c r="G254" i="25"/>
  <c r="H254" i="25" s="1"/>
  <c r="G253" i="25"/>
  <c r="H253" i="25" s="1"/>
  <c r="G237" i="25"/>
  <c r="H237" i="25" s="1"/>
  <c r="G236" i="25"/>
  <c r="H236" i="25" s="1"/>
  <c r="G235" i="25"/>
  <c r="H235" i="25" s="1"/>
  <c r="G234" i="25"/>
  <c r="H234" i="25" s="1"/>
  <c r="G233" i="25"/>
  <c r="H233" i="25" s="1"/>
  <c r="G232" i="25"/>
  <c r="H232" i="25" s="1"/>
  <c r="G231" i="25"/>
  <c r="H231" i="25" s="1"/>
  <c r="G230" i="25"/>
  <c r="H230" i="25" s="1"/>
  <c r="H225" i="25"/>
  <c r="G227" i="25"/>
  <c r="H227" i="25" s="1"/>
  <c r="G226" i="25"/>
  <c r="H226" i="25" s="1"/>
  <c r="G224" i="25"/>
  <c r="H224" i="25" s="1"/>
  <c r="G223" i="25"/>
  <c r="H223" i="25" s="1"/>
  <c r="G222" i="25"/>
  <c r="H222" i="25" s="1"/>
  <c r="G219" i="25"/>
  <c r="H219" i="25" s="1"/>
  <c r="G218" i="25"/>
  <c r="H218" i="25" s="1"/>
  <c r="G217" i="25"/>
  <c r="H217" i="25" s="1"/>
  <c r="G216" i="25"/>
  <c r="H216" i="25" s="1"/>
  <c r="G215" i="25"/>
  <c r="H215" i="25" s="1"/>
  <c r="G212" i="25"/>
  <c r="H212" i="25" s="1"/>
  <c r="G211" i="25"/>
  <c r="H211" i="25" s="1"/>
  <c r="G210" i="25"/>
  <c r="H210" i="25" s="1"/>
  <c r="G207" i="25"/>
  <c r="H207" i="25" s="1"/>
  <c r="G206" i="25"/>
  <c r="H206" i="25" s="1"/>
  <c r="G205" i="25"/>
  <c r="H205" i="25" s="1"/>
  <c r="G204" i="25"/>
  <c r="H204" i="25" s="1"/>
  <c r="G198" i="25"/>
  <c r="H198" i="25" s="1"/>
  <c r="H199" i="25" s="1"/>
  <c r="G197" i="25"/>
  <c r="H197" i="25" s="1"/>
  <c r="H391" i="25" l="1"/>
  <c r="H612" i="25"/>
  <c r="G420" i="25"/>
  <c r="H420" i="25" s="1"/>
  <c r="G384" i="25"/>
  <c r="H384" i="25" s="1"/>
  <c r="H624" i="25"/>
  <c r="G620" i="25" s="1"/>
  <c r="H620" i="25" s="1"/>
  <c r="H309" i="25"/>
  <c r="G302" i="25" s="1"/>
  <c r="H302" i="25" s="1"/>
  <c r="H631" i="25"/>
  <c r="G625" i="25" s="1"/>
  <c r="H625" i="25" s="1"/>
  <c r="H296" i="25"/>
  <c r="G293" i="25" s="1"/>
  <c r="H293" i="25" s="1"/>
  <c r="H619" i="25"/>
  <c r="G613" i="25" s="1"/>
  <c r="H383" i="25"/>
  <c r="G376" i="25" s="1"/>
  <c r="H376" i="25" s="1"/>
  <c r="H276" i="25"/>
  <c r="G271" i="25" s="1"/>
  <c r="H271" i="25" s="1"/>
  <c r="H292" i="25"/>
  <c r="G286" i="25" s="1"/>
  <c r="H286" i="25" s="1"/>
  <c r="H301" i="25"/>
  <c r="G297" i="25" s="1"/>
  <c r="H297" i="25" s="1"/>
  <c r="H369" i="25"/>
  <c r="G365" i="25" s="1"/>
  <c r="H365" i="25" s="1"/>
  <c r="H375" i="25"/>
  <c r="G370" i="25" s="1"/>
  <c r="H370" i="25" s="1"/>
  <c r="H643" i="25"/>
  <c r="G632" i="25" s="1"/>
  <c r="H632" i="25" s="1"/>
  <c r="H363" i="25"/>
  <c r="G357" i="25" s="1"/>
  <c r="H357" i="25" s="1"/>
  <c r="H285" i="25"/>
  <c r="H228" i="25"/>
  <c r="G221" i="25" s="1"/>
  <c r="H221" i="25" s="1"/>
  <c r="H208" i="25"/>
  <c r="G203" i="25" s="1"/>
  <c r="H203" i="25" s="1"/>
  <c r="H220" i="25"/>
  <c r="G214" i="25" s="1"/>
  <c r="H214" i="25" s="1"/>
  <c r="H238" i="25"/>
  <c r="G229" i="25" s="1"/>
  <c r="H229" i="25" s="1"/>
  <c r="H256" i="25"/>
  <c r="G252" i="25" s="1"/>
  <c r="H252" i="25" s="1"/>
  <c r="H269" i="25"/>
  <c r="G266" i="25" s="1"/>
  <c r="H266" i="25" s="1"/>
  <c r="H280" i="25"/>
  <c r="G277" i="25" s="1"/>
  <c r="H277" i="25" s="1"/>
  <c r="H260" i="25"/>
  <c r="H265" i="25"/>
  <c r="G262" i="25" s="1"/>
  <c r="H262" i="25" s="1"/>
  <c r="H213" i="25"/>
  <c r="G209" i="25" s="1"/>
  <c r="H209" i="25" s="1"/>
  <c r="H190" i="25"/>
  <c r="H189" i="25"/>
  <c r="G188" i="25"/>
  <c r="H188" i="25" s="1"/>
  <c r="G187" i="25"/>
  <c r="H187" i="25" s="1"/>
  <c r="G186" i="25"/>
  <c r="H186" i="25" s="1"/>
  <c r="G175" i="25"/>
  <c r="H175" i="25" s="1"/>
  <c r="G174" i="25"/>
  <c r="H174" i="25" s="1"/>
  <c r="H176" i="25" l="1"/>
  <c r="G165" i="25" s="1"/>
  <c r="H165" i="25" s="1"/>
  <c r="H191" i="25"/>
  <c r="G185" i="25"/>
  <c r="G184" i="25"/>
  <c r="G183" i="25"/>
  <c r="G182" i="25"/>
  <c r="G181" i="25"/>
  <c r="G180" i="25"/>
  <c r="G179" i="25"/>
  <c r="G178" i="25"/>
  <c r="G173" i="25"/>
  <c r="G172" i="25"/>
  <c r="G171" i="25"/>
  <c r="G170" i="25"/>
  <c r="G169" i="25"/>
  <c r="G168" i="25"/>
  <c r="G167" i="25"/>
  <c r="G166" i="25"/>
  <c r="G156" i="25"/>
  <c r="H156" i="25" s="1"/>
  <c r="H157" i="25" s="1"/>
  <c r="G155" i="25"/>
  <c r="H155" i="25" s="1"/>
  <c r="G153" i="25"/>
  <c r="H153" i="25" s="1"/>
  <c r="G152" i="25"/>
  <c r="H152" i="25" s="1"/>
  <c r="G151" i="25"/>
  <c r="H151" i="25" s="1"/>
  <c r="G147" i="25"/>
  <c r="H147" i="25" s="1"/>
  <c r="G146" i="25"/>
  <c r="H146" i="25" s="1"/>
  <c r="G145" i="25"/>
  <c r="H145" i="25" s="1"/>
  <c r="G142" i="25"/>
  <c r="H142" i="25" s="1"/>
  <c r="G141" i="25"/>
  <c r="H141" i="25" s="1"/>
  <c r="G138" i="25"/>
  <c r="H138" i="25" s="1"/>
  <c r="G137" i="25"/>
  <c r="H137" i="25" s="1"/>
  <c r="G136" i="25"/>
  <c r="H136" i="25" s="1"/>
  <c r="G127" i="25"/>
  <c r="H127" i="25" s="1"/>
  <c r="H128" i="25" s="1"/>
  <c r="G126" i="25"/>
  <c r="H126" i="25" s="1"/>
  <c r="G119" i="25"/>
  <c r="H119" i="25" s="1"/>
  <c r="G118" i="25"/>
  <c r="H118" i="25" s="1"/>
  <c r="G117" i="25"/>
  <c r="H117" i="25" s="1"/>
  <c r="G116" i="25"/>
  <c r="H116" i="25" s="1"/>
  <c r="G115" i="25"/>
  <c r="H115" i="25" s="1"/>
  <c r="G114" i="25"/>
  <c r="H114" i="25" s="1"/>
  <c r="G110" i="25"/>
  <c r="H110" i="25" s="1"/>
  <c r="G109" i="25"/>
  <c r="H109" i="25" s="1"/>
  <c r="G108" i="25"/>
  <c r="H108" i="25" s="1"/>
  <c r="G107" i="25"/>
  <c r="H107" i="25" s="1"/>
  <c r="G106" i="25"/>
  <c r="H106" i="25" s="1"/>
  <c r="G105" i="25"/>
  <c r="H105" i="25" s="1"/>
  <c r="G104" i="25"/>
  <c r="H104" i="25" s="1"/>
  <c r="G103" i="25"/>
  <c r="H103" i="25" s="1"/>
  <c r="G102" i="25"/>
  <c r="H102" i="25" s="1"/>
  <c r="G101" i="25"/>
  <c r="H101" i="25" s="1"/>
  <c r="G100" i="25"/>
  <c r="H100" i="25" s="1"/>
  <c r="G99" i="25"/>
  <c r="H99" i="25" s="1"/>
  <c r="G98" i="25"/>
  <c r="H98" i="25" s="1"/>
  <c r="G97" i="25"/>
  <c r="H97" i="25" s="1"/>
  <c r="G96" i="25"/>
  <c r="H96" i="25" s="1"/>
  <c r="G95" i="25"/>
  <c r="H95" i="25" s="1"/>
  <c r="G92" i="25"/>
  <c r="H92" i="25" s="1"/>
  <c r="G91" i="25"/>
  <c r="H91" i="25" s="1"/>
  <c r="G90" i="25"/>
  <c r="H90" i="25" s="1"/>
  <c r="G89" i="25"/>
  <c r="H89" i="25" s="1"/>
  <c r="G88" i="25"/>
  <c r="H88" i="25" s="1"/>
  <c r="G87" i="25"/>
  <c r="H87" i="25" s="1"/>
  <c r="G86" i="25"/>
  <c r="H86" i="25" s="1"/>
  <c r="G85" i="25"/>
  <c r="H85" i="25" s="1"/>
  <c r="G84" i="25"/>
  <c r="H84" i="25" s="1"/>
  <c r="G83" i="25"/>
  <c r="H83" i="25" s="1"/>
  <c r="G82" i="25"/>
  <c r="H82" i="25" s="1"/>
  <c r="G81" i="25"/>
  <c r="H81" i="25" s="1"/>
  <c r="G80" i="25"/>
  <c r="H80" i="25" s="1"/>
  <c r="G79" i="25"/>
  <c r="H79" i="25" s="1"/>
  <c r="G78" i="25"/>
  <c r="H78" i="25" s="1"/>
  <c r="G77" i="25"/>
  <c r="H77" i="25" s="1"/>
  <c r="G76" i="25"/>
  <c r="H76" i="25" s="1"/>
  <c r="G75" i="25"/>
  <c r="H75" i="25" s="1"/>
  <c r="G74" i="25"/>
  <c r="H74" i="25" s="1"/>
  <c r="G73" i="25"/>
  <c r="H73" i="25" s="1"/>
  <c r="G72" i="25"/>
  <c r="H72" i="25" s="1"/>
  <c r="G71" i="25"/>
  <c r="H71" i="25" s="1"/>
  <c r="G70" i="25"/>
  <c r="H70" i="25" s="1"/>
  <c r="G69" i="25"/>
  <c r="H69" i="25" s="1"/>
  <c r="G68" i="25"/>
  <c r="H68" i="25" s="1"/>
  <c r="G67" i="25"/>
  <c r="H67" i="25" s="1"/>
  <c r="G66" i="25"/>
  <c r="H66" i="25" s="1"/>
  <c r="G65" i="25"/>
  <c r="H65" i="25" s="1"/>
  <c r="G64" i="25"/>
  <c r="H64" i="25" s="1"/>
  <c r="G63" i="25"/>
  <c r="H63" i="25" s="1"/>
  <c r="G62" i="25"/>
  <c r="H62" i="25" s="1"/>
  <c r="G61" i="25"/>
  <c r="H61" i="25" s="1"/>
  <c r="G60" i="25"/>
  <c r="H60" i="25" s="1"/>
  <c r="G59" i="25"/>
  <c r="H59" i="25" s="1"/>
  <c r="G58" i="25"/>
  <c r="H58" i="25" s="1"/>
  <c r="G57" i="25"/>
  <c r="H57" i="25" s="1"/>
  <c r="G56" i="25"/>
  <c r="H56" i="25" s="1"/>
  <c r="G55" i="25"/>
  <c r="H55" i="25" s="1"/>
  <c r="G54" i="25"/>
  <c r="H54" i="25" s="1"/>
  <c r="G53" i="25"/>
  <c r="H53" i="25" s="1"/>
  <c r="G52" i="25"/>
  <c r="H52" i="25" s="1"/>
  <c r="G49" i="25"/>
  <c r="H49" i="25" s="1"/>
  <c r="G48" i="25"/>
  <c r="H48" i="25" s="1"/>
  <c r="G47" i="25"/>
  <c r="H47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0" i="25"/>
  <c r="H30" i="25" s="1"/>
  <c r="G29" i="25"/>
  <c r="H29" i="25" s="1"/>
  <c r="G28" i="25"/>
  <c r="H28" i="25" s="1"/>
  <c r="G27" i="25"/>
  <c r="H27" i="25" s="1"/>
  <c r="G26" i="25"/>
  <c r="H26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H154" i="25" l="1"/>
  <c r="G177" i="25"/>
  <c r="H177" i="25" s="1"/>
  <c r="H139" i="25"/>
  <c r="G135" i="25" s="1"/>
  <c r="H135" i="25" s="1"/>
  <c r="H143" i="25"/>
  <c r="G140" i="25" s="1"/>
  <c r="H140" i="25" s="1"/>
  <c r="H50" i="25"/>
  <c r="G32" i="25" s="1"/>
  <c r="H32" i="25" s="1"/>
  <c r="H31" i="25"/>
  <c r="G25" i="25" s="1"/>
  <c r="H25" i="25" s="1"/>
  <c r="H111" i="25"/>
  <c r="G94" i="25" s="1"/>
  <c r="H94" i="25" s="1"/>
  <c r="H120" i="25"/>
  <c r="G113" i="25" s="1"/>
  <c r="H113" i="25" s="1"/>
  <c r="H148" i="25"/>
  <c r="G144" i="25" s="1"/>
  <c r="H144" i="25" s="1"/>
  <c r="H24" i="25"/>
  <c r="G15" i="25" s="1"/>
  <c r="H15" i="25" s="1"/>
  <c r="H93" i="25"/>
  <c r="G51" i="25" s="1"/>
  <c r="H51" i="25" s="1"/>
</calcChain>
</file>

<file path=xl/sharedStrings.xml><?xml version="1.0" encoding="utf-8"?>
<sst xmlns="http://schemas.openxmlformats.org/spreadsheetml/2006/main" count="2428" uniqueCount="912">
  <si>
    <t>ITEM</t>
  </si>
  <si>
    <t>DESCRIÇÃO</t>
  </si>
  <si>
    <t>UNID</t>
  </si>
  <si>
    <t>QUANT.</t>
  </si>
  <si>
    <t>P.TOTAL</t>
  </si>
  <si>
    <t>%</t>
  </si>
  <si>
    <t>%  DO TOTAL</t>
  </si>
  <si>
    <t>P.UNIT.</t>
  </si>
  <si>
    <t>Prefeitura Municipal de Barra Mansa</t>
  </si>
  <si>
    <t xml:space="preserve">Composição de Preços </t>
  </si>
  <si>
    <t xml:space="preserve">Secretaria Municipal de Planejamento Urbano </t>
  </si>
  <si>
    <t>PLANILHA  ORCAMENTÁRIA</t>
  </si>
  <si>
    <t>SINAPI / EMOP</t>
  </si>
  <si>
    <t>Estado do Rio de Janeiro</t>
  </si>
  <si>
    <t xml:space="preserve">COM  DESONERAÇÃO </t>
  </si>
  <si>
    <t>Preço UNIT.</t>
  </si>
  <si>
    <t xml:space="preserve"> TOTAL </t>
  </si>
  <si>
    <t>BDI</t>
  </si>
  <si>
    <t>TOTAL GERAL</t>
  </si>
  <si>
    <t>SERVIÇOS PRELIMINARES</t>
  </si>
  <si>
    <t>PLACA DE IDENTIFICACAO DE OBRA PUBLICA,INCLUSIVE PINTURA E SUPORTES DE MADEIRA.FORNECIMENTO E COLOCACAO (OBS.:3% - DESGASTE DE FERRAMENTAS E EPI).</t>
  </si>
  <si>
    <t>M2</t>
  </si>
  <si>
    <t>SUBTOTAL</t>
  </si>
  <si>
    <t>M</t>
  </si>
  <si>
    <t>M3</t>
  </si>
  <si>
    <t>CARGA MANUAL DE ENTULHO EM CAMINHAO BASCULANTE 6 M3</t>
  </si>
  <si>
    <t>M3XKM</t>
  </si>
  <si>
    <t>UN</t>
  </si>
  <si>
    <t>TRABALHOS EM TERRA</t>
  </si>
  <si>
    <t>KG</t>
  </si>
  <si>
    <t>REVESTIMENTO DE PISO COM CERAMICA TATIL ALERTA,(LADRILHO HIDRAULICO) PARA PESSOAS COM NECESSIDADES ESPECIFICAS,ASSENTES SOBRE SUPERFICIE EM OSSO,CONFORME ITEM 13.330.0010 (OBS.:3%-DESGASTE DE FERRAMENTAS E EPI).</t>
  </si>
  <si>
    <t>PINTURA</t>
  </si>
  <si>
    <t>SERVIÇOS COMPLEMENTARES</t>
  </si>
  <si>
    <t>00453</t>
  </si>
  <si>
    <t>PREGO COM OU SEM CABECA, EM CAIXAS DE 50KG, OU QUANTIDADES EQUIVALENTES, N§12X12A 18X30</t>
  </si>
  <si>
    <t>00368</t>
  </si>
  <si>
    <t>PINUS, EM PECAS DE 7,50X7,50CM (3"X3")</t>
  </si>
  <si>
    <t>00294</t>
  </si>
  <si>
    <t>TINTA A OLEO BRILHANTE, P/USO GERAL, EMINTERIORES E EXTERIORES</t>
  </si>
  <si>
    <t>GL</t>
  </si>
  <si>
    <t>00160</t>
  </si>
  <si>
    <t>CHAPA DE ACO CARBONO, GALVANIZADA, PARAUSOS GERAIS, TAMANHO PADRAO, PRECO DE REVENDEDOR, COM ESPESSURA DE 0,5MM</t>
  </si>
  <si>
    <t>01999</t>
  </si>
  <si>
    <t>MAO-DE-OBRA DE SERVENTE DA CONSTRUCAO CIVIL, INCLUSIVE ENCARGOS SOCIAIS</t>
  </si>
  <si>
    <t>H</t>
  </si>
  <si>
    <t>TOTAL</t>
  </si>
  <si>
    <t>SERVENTE COM ENCARGOS COMPLEMENTARES</t>
  </si>
  <si>
    <t>CHI</t>
  </si>
  <si>
    <t>CHP</t>
  </si>
  <si>
    <t>L</t>
  </si>
  <si>
    <t>00559</t>
  </si>
  <si>
    <t>TIJOLO CERAMICO, FURADO, DE (10X20X20)CM</t>
  </si>
  <si>
    <t>02339</t>
  </si>
  <si>
    <t>ADESIVO PLASTICO PARA PVC RIGIDO, EM BISNAGA DE 75G</t>
  </si>
  <si>
    <t>PEDREIRO COM ENCARGOS COMPLEMENTARES</t>
  </si>
  <si>
    <t>DISJUNTOR TIPO DIN/IEC, BIPOLAR DE 6 ATE 32A</t>
  </si>
  <si>
    <t>ELETRICISTA COM ENCARGOS COMPLEMENTARES</t>
  </si>
  <si>
    <t>AUXILIAR DE ELETRICISTA COM ENCARGOS COMPLEMENTARES</t>
  </si>
  <si>
    <t>Mercado</t>
  </si>
  <si>
    <t>02984</t>
  </si>
  <si>
    <t>RABICHO PLASTICO COM SAIDA DE 1/2" E COMCOMPRIMENTO DE 30CM</t>
  </si>
  <si>
    <t>00150</t>
  </si>
  <si>
    <t>CIMENTO BRANCO</t>
  </si>
  <si>
    <t>PINTOR COM ENCARGOS COMPLEMENTARES</t>
  </si>
  <si>
    <t>PECA DE MADEIRA NATIVA / REGIONAL 7,5 X 7,5CM (3X3) NAO APARELHADA (P/FORMA)</t>
  </si>
  <si>
    <t>DESMOLDANTE PROTETOR PARA FORMAS DE MADEIRA, DE BASE OLEOSA EMULSIONADA EM AGUA</t>
  </si>
  <si>
    <t>CHAPISCO APLICADO EM ALVENARIAS E ESTRUTURAS DE CONCRETO INTERNAS, COM COLHER DE PEDREIRO. 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</si>
  <si>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</si>
  <si>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20132</t>
  </si>
  <si>
    <t>MAO-DE-OBRA DE SERVENTE DA CONSTRUCAO CIVIL, INCLUSIVE ENCARGOS SOCIAIS DESONERADOS</t>
  </si>
  <si>
    <t>20045</t>
  </si>
  <si>
    <t>MAO-DE-OBRA DE CARPINTEIRO DE ESQUADRIASDE MADEIRA, INCLUSIVE ENCARGOS SOCIAISDESONERADOS</t>
  </si>
  <si>
    <t>20115</t>
  </si>
  <si>
    <t>MAO-DE-OBRA DE PEDREIRO, INCLUSIVE ENCARGOS SOCIAIS DESONERADOS</t>
  </si>
  <si>
    <t>SI000088316</t>
  </si>
  <si>
    <t>Projeto :</t>
  </si>
  <si>
    <t xml:space="preserve">Levant. Quant. : </t>
  </si>
  <si>
    <t>Orçamento :</t>
  </si>
  <si>
    <t>Aprovação :</t>
  </si>
  <si>
    <t>INSTALAÇÕES ELÉTRICAS</t>
  </si>
  <si>
    <t>AJUDANTE DE CARPINTEIRO COM ENCARGOS COMPLEMENTARES</t>
  </si>
  <si>
    <t>DISJUNTOR TIPO DIN/IEC, TRIPOLAR DE 10 ATE 50A</t>
  </si>
  <si>
    <t>FITA ISOLANTE ADESIVA ANTICHAMA, USO ATE 750 V, EM ROLO DE 19 MM X 5 M</t>
  </si>
  <si>
    <t>ELETRODUTO PVC FLEXIVEL CORRUGADO, COR AMARELA, DE 32 MM</t>
  </si>
  <si>
    <t>01919</t>
  </si>
  <si>
    <t>MAO-DE-OBRA DE AJUDANTE DE MONTADOR ELETROMECANICO (ILUMINACAO PUBLICA), INCLUSIVE ENCARGOS SOCIAIS</t>
  </si>
  <si>
    <t>PECA DE MADEIRA NATIVA/REGIONAL 2,5 X 7,0 CM (SARRAFO-P/FORMA)</t>
  </si>
  <si>
    <t>LONA PLASTICA PRETA, E= 150 MICRA</t>
  </si>
  <si>
    <t>CARPINTEIRO DE FORMAS COM ENCARGOS COMPLEMENTARES</t>
  </si>
  <si>
    <t>11228</t>
  </si>
  <si>
    <t>PISO CERAMICO TATIL ALERTA, AMARELO, PARA PORTADORES DE NECESSIDADES ESPECIFICAS</t>
  </si>
  <si>
    <t>05350</t>
  </si>
  <si>
    <t>OXIDO DE FERRO</t>
  </si>
  <si>
    <t>APLICAÇÃO DE FUNDO SELADOR ACRÍLICO EM PAREDES, UMA DEMÃO. AF_06/2014</t>
  </si>
  <si>
    <t>SELADOR ACRILICO PAREDES INTERNAS/EXTERNAS</t>
  </si>
  <si>
    <t>TABUA MADEIRA 2A QUALIDADE 2,5 X 30,0CM (1 X 12") NAO APARELHADA</t>
  </si>
  <si>
    <t>05845</t>
  </si>
  <si>
    <t>ACO CA-50, ESTIRADO, PRECO DE REVENDEDOR, NO DIAMETRO DE 08,0MM</t>
  </si>
  <si>
    <t>05844</t>
  </si>
  <si>
    <t>ACO CA-50, ESTIRADO, PRECO DE REVENDEDOR, NO DIAMETRO DE 06,3MM</t>
  </si>
  <si>
    <t>00021</t>
  </si>
  <si>
    <t>ACO CA-50, ESTIRADO, PRECO DE REVENDEDOR, NO DIAMETRO, DE 25,0MM</t>
  </si>
  <si>
    <t>00019</t>
  </si>
  <si>
    <t>ACO CA-50, ESTIRADO, PRECO DE REVENDEDOR, NO DIAMETRO DE 16,0MM</t>
  </si>
  <si>
    <t>00018</t>
  </si>
  <si>
    <t>ACO CA-50, ESTIRADO, PRECO DE REVENDEDOR, NO DIAMETRO DE 12,5MM</t>
  </si>
  <si>
    <t>00017</t>
  </si>
  <si>
    <t>ACO CA-50, ESTIRADO, PRECO DE REVENDEDOR, NO DIAMETRO DE 10,0MM</t>
  </si>
  <si>
    <t>00004</t>
  </si>
  <si>
    <t>ARAME RECOZIDO N§ 18</t>
  </si>
  <si>
    <t>Engº Eros dos Santos</t>
  </si>
  <si>
    <t>Orç. Nº</t>
  </si>
  <si>
    <t>Data</t>
  </si>
  <si>
    <t>Rev. Nº</t>
  </si>
  <si>
    <t>CARGA E DESCARGA MECANICA DE SOLO UTILIZANDO CAMINHAO BASCULANTE 6,0M3/16T E PA CARREGADEIRA SOBRE PNEUS 128 HP, CAPACIDADE DA CAÇAMBA 1,7 A 2,8 M3, PESO OPERACIONAL 11632 KG</t>
  </si>
  <si>
    <t>ESPALHAMENTO DE MATERIAL DE 1A CATEGORIA COM TRATOR DE ESTEIRA COM 153HP</t>
  </si>
  <si>
    <t>So000094965</t>
  </si>
  <si>
    <t>So74157/004</t>
  </si>
  <si>
    <t>T</t>
  </si>
  <si>
    <t>02617</t>
  </si>
  <si>
    <t>TUBO DE PVC RIGIDO, PONTA/BOLSA COM VIROLA, EM BARRAS DE 6,00M, DE 100MM</t>
  </si>
  <si>
    <t>02615</t>
  </si>
  <si>
    <t>TUBO DE PVC RIGIDO, PONTA/BOLSA COM VIROLA, EM BARRAS DE 6,00M, DE 050MM</t>
  </si>
  <si>
    <t>20039</t>
  </si>
  <si>
    <t>MAO-DE-OBRA DE BOMBEIRO HIDRAULICO DA CONSTRUCAO CIVIL, INCLUSIVE ENCARGOS SOCIAIS DESONERADOS</t>
  </si>
  <si>
    <t>Obra : IMPLANTAÇÃO DE PRAÇA ESPORTIVA,  NO BAIRRO GETÚLIO VARGAS - BARRA MANSA - RJ - TÊNIS DE MESA E IMPLANTAÇÃO DE PRAÇA</t>
  </si>
  <si>
    <t>Encargos Sociais COM Desoneração - SINAPI :    90,79% (HORA)    -    51,52% (MÊS)</t>
  </si>
  <si>
    <t>Arqª  Germana Kelmer de Abreu  (CAU  198443-8)</t>
  </si>
  <si>
    <t>1</t>
  </si>
  <si>
    <t>1.1</t>
  </si>
  <si>
    <t>1.2</t>
  </si>
  <si>
    <t>1.3</t>
  </si>
  <si>
    <t>1.4</t>
  </si>
  <si>
    <t>1.5</t>
  </si>
  <si>
    <t>TAPUME DE VEDACAO OU PROTECAO EXECUTADO COM TELHAS TRAPEZOIDAIS DE ACO GALVANIZADO,ESPESSURA DE 0,5MM,ESTAS COM 4 VEZES DE UTILIZACAO,INCLUSIVE ENGRADAMENTO DE MADEIRA,UTILIZADO 2VEZES,EXCLUSIVE PINTURA (OBS.:3% - DESGASTE DE FERRAMENTAS E EPI).</t>
  </si>
  <si>
    <t>13732</t>
  </si>
  <si>
    <t>TELHA TRAPEZOIDAL EM ACO GALVANIZADO, ESPESSURA DE 0,5MM</t>
  </si>
  <si>
    <t>PREGO DE ACO POLIDO COM CABECA DUPLA 17 X 27 (2 1/2 X 11)</t>
  </si>
  <si>
    <t>PREGO DE ACO POLIDO COM CABECA 17 X 24 (2 1/4 X 11)</t>
  </si>
  <si>
    <t>FABRICAÇÃO, MONTAGEM E DESMONTAGEM DE FÔRMA PARA VIGA BALDRAME, EM MADEIRA SERRADA, E=25 MM, 4 UTILIZAÇÕES. AF_06/2017</t>
  </si>
  <si>
    <t>ARAME RECOZIDO 18 BWG, 1,25 MM (0,01 KG/M)</t>
  </si>
  <si>
    <t>ARMADOR COM ENCARGOS COMPLEMENTARES</t>
  </si>
  <si>
    <t>00337</t>
  </si>
  <si>
    <t>SI000088245</t>
  </si>
  <si>
    <t>TELA DE ACO SOLDADA NERVURADA CA-60, Q-138, (2,20 KG/M2), DIAMETRO DO FIO = 4,2 MM, LARGURA =  2,45 X 120 M DE COMPRIMENTO, ESPACAMENTO DA MALHA = 10 X 10 CM</t>
  </si>
  <si>
    <t>So10916</t>
  </si>
  <si>
    <t>TELA DE ACO SOLDADA NERVURADA CA-60, Q-92, (1,48 KG/M2), DIAMETRO DO FIO = 4,2 MM, LARGURA =  2,45 X 60 M DE COMPRIMENTO, ESPACAMENTO DA MALHA = 15 X 15 CM</t>
  </si>
  <si>
    <t>FORNECIMENTO/INSTALACAO LONA PLASTICA PRETA, PARA IMPERMEABILIZACAO, ESPESSURA 150 MICRAS.</t>
  </si>
  <si>
    <t>IMPERMEABILIZADOR COM ENCARGOS COMPLEMENTARES</t>
  </si>
  <si>
    <t>PAISAGISMO</t>
  </si>
  <si>
    <t>05853</t>
  </si>
  <si>
    <t>00717</t>
  </si>
  <si>
    <t>TERRA PRETA SIMPLES</t>
  </si>
  <si>
    <t>ATERRO COM TERRA PRETA VEGETAL,PARA EXECUCAO DE GRAMADOS (OBS.:3%-DESGASTE DE FERRAMENTAS E EPI).</t>
  </si>
  <si>
    <t>JARDINEIRO COM ENCARGOS COMPLEMENTARES</t>
  </si>
  <si>
    <t>ARBUSTO PARA JARDINS, TIPO LANTANA, COM 50 A 70CM DE ALTURA. FORNECIMENTO E PLANTIO</t>
  </si>
  <si>
    <t>02.015.0001-A</t>
  </si>
  <si>
    <t>INSTALACAO E LIGACAO PROVISORIA PARA ABASTECIMENTO DE AGUA E ESGOTAMENTO SANITARIO EM CANTEIRO DE OBRAS,INCLUSIVE ESCAVA CAO,EXCLUSIVE REPOSICAO DA PAVIMENTACAO DO LOGRADOURO PUBLICO</t>
  </si>
  <si>
    <t>00872</t>
  </si>
  <si>
    <t>CURVA 45§ OU 90§ DE CERAMICA PARA ESGOTOCOM JUNTA ARGAMASSA, DE 0100MM</t>
  </si>
  <si>
    <t>00702</t>
  </si>
  <si>
    <t>REGISTRO DE GAVETA DE BRONZE, DE 1¦ QUALIDADE COM ROSCA DE AMBOS OS LADOS, DE 3/4"</t>
  </si>
  <si>
    <t>00148</t>
  </si>
  <si>
    <t>TUBO DE ACO GALVANIZADO, COM COSTURA, PESADO, NBR 5580, DN=3/4"</t>
  </si>
  <si>
    <t>00843</t>
  </si>
  <si>
    <t>TUBO CERAMICO, ESGOTO SANITARIO, DE 100MM E COM COMPRIMENTO DE 1,00M</t>
  </si>
  <si>
    <t>00788</t>
  </si>
  <si>
    <t>CAIXA D'AGUA DE FIBRA DE VIDRO OU POLIETILENO, COM CAPACIDADE DE 1000 LITROS</t>
  </si>
  <si>
    <t>00688</t>
  </si>
  <si>
    <t>LIGACAO DE AGUA CEDAE, PARA INSTALACAO NO PASSEIO, DE 3/4", VAZAO DE 3,0M3/H (VALOR TOTAL)</t>
  </si>
  <si>
    <t>31011</t>
  </si>
  <si>
    <t>59.003.0010-B PINUS,PECA 1" X 12" E 1" X 9"</t>
  </si>
  <si>
    <t>30163</t>
  </si>
  <si>
    <t>07.002.0025-B ARGAMASSA CIM.,AREIA TRACO 1:3,PREPAROMECANICO</t>
  </si>
  <si>
    <t>30403</t>
  </si>
  <si>
    <t>15.071.0012-B LIGACAO AGUAS PLUVIAIS OU DOMICILIARES</t>
  </si>
  <si>
    <t>CAIXA OCTOGONAL DE FUNDO MOVEL, EM PVC, DE 4" X 4", PARA ELETRODUTO FLEXIVEL CORRUGADO</t>
  </si>
  <si>
    <t>CABO DE COBRE FLEXÍVEL ISOLADO, 4 MM², ANTI-CHAMA 450/750 V, PARA CIRCUITOS TERMINAIS - FORNECIMENTO E INSTALAÇÃO. AF_12/2015</t>
  </si>
  <si>
    <t>CABO DE COBRE, FLEXIVEL, CLASSE 4 OU 5, ISOLACAO EM PVC/A, ANTICHAMA BWF-B, 1 CONDUTOR, 450/750 V, SECAO NOMINAL 4 MM2</t>
  </si>
  <si>
    <t>11460</t>
  </si>
  <si>
    <t>POSTE DE ACO RETO, CONICO CONTINUO, COMALTURA DE 3,50M, COM SAPATA CIRCULAR</t>
  </si>
  <si>
    <t>!EM PROCESSO DE DESATIVACAO! LUMINARIA FECHADA P/ ILUMINACAO PUBLICA, TIPO ABL 50/F OU EQUIV, P/ LAMPADA A VAPOR DE MERCURIO 400W</t>
  </si>
  <si>
    <t>TERMINAL A COMPRESSAO EM COBRE ESTANHADO PARA CABO 2,5 MM2, 1 FURO E 1 COMPRESSAO, PARA PARAFUSO DE FIXACAO M5</t>
  </si>
  <si>
    <t>QUADRO DE DISTRIBUICAO DE ENERGIA DE EMBUTIR, EM CHAPA METALICA, PARA 18 DISJUNTORES TERMOMAGNETICOS MONOPOLARES, COM BARRAMENTO TRIFASICO E NEUTRO, FORNECIMENTO E INSTALACAO</t>
  </si>
  <si>
    <t>QUADRO DE DISTRIBUICAO COM BARRAMENTO TRIFASICO, DE SOBREPOR, EM CHAPA DE ACO GALVANIZADO, PARA 18 DISJUNTORES DIN, 100 A</t>
  </si>
  <si>
    <t>21.003.0052-0</t>
  </si>
  <si>
    <t>11459</t>
  </si>
  <si>
    <t>POSTE DE ACO RETO, CONICO CONTINUO, SEMSAPATA, COMPRIMENTO DE 3,50M</t>
  </si>
  <si>
    <t>POSTE DE ACO, RETO, CONICO CONTINUO, ALTURA DE 3,50M, SEM SAPATA. FORNECIMENTO</t>
  </si>
  <si>
    <t>POSTE DE ACO, RETO, CONICO CONTINUO, ALTURA DE 3,50M, COM SAPATA E BASE (PADRAO RIO CIDADE CATETE). FORNECIMENTO</t>
  </si>
  <si>
    <t>11105</t>
  </si>
  <si>
    <t>CHUMBADOR DE ACO COMUM COM PORCAS E ARRUELAS DE 7/8"X600MM</t>
  </si>
  <si>
    <t>01335</t>
  </si>
  <si>
    <t>CHAPA DE ACO GROSSA, ASTM A36, E = 7/8 " (22,23 MM) 174,28 KG/M2</t>
  </si>
  <si>
    <t>Chapa de 0,20x0,20x174,28=6,97</t>
  </si>
  <si>
    <t>CAIXA DE PASSAGEM, EM PVC, DE 4" X 4", PARA ELETRODUTO FLEXIVEL CORRUGADO</t>
  </si>
  <si>
    <t xml:space="preserve">Mercado </t>
  </si>
  <si>
    <t>Caixa de passagem em alumínio para piso, 4" x 4".</t>
  </si>
  <si>
    <t>13242</t>
  </si>
  <si>
    <t>LUMINARIA TIPO SPOT, DIRECIONAL, EXCLUSIVE LAMPADA</t>
  </si>
  <si>
    <t xml:space="preserve">LUMINARIA TIPO SPOT   BALIZADOR DE EMBUTIR NA PAREDE COM 12W EM LED, COM VIDRO BLINDADO.     </t>
  </si>
  <si>
    <t>REATOR INTERNO/INTEGRADO PARA LAMPADA VAPOR METALICO 400 W, ALTO FATOR DE POTENCIA</t>
  </si>
  <si>
    <t>REFLETOR REDONDO EM ALUMINIO ANODIZADO PARA LAMPADA VAPOR DE MERCURIO/SODIO, CORPO EM ALUMINIO COM PINTURA EPOXI, PARA LAMPADA E-27 DE 300 W, COM SUPORTE REDONDO E ALCA REGULAVEL PARA FIXACAO.</t>
  </si>
  <si>
    <t>LAMPADA VAPOR MERCURIO 250 W (BASE E40)</t>
  </si>
  <si>
    <t>Refletor de LED, para iluminação pública, de 200W.</t>
  </si>
  <si>
    <r>
      <t xml:space="preserve">CHUMBADOR PARA FIXACAO DE POSTE DE ACO,             </t>
    </r>
    <r>
      <rPr>
        <strike/>
        <sz val="11"/>
        <color theme="1"/>
        <rFont val="Times New Roman"/>
        <family val="1"/>
      </rPr>
      <t>CURVO DE 1 BRACO,DE 8M ATE 9M DE ALTURA,      EXCLUSIVE ESTE,DE 7/8"X600MM</t>
    </r>
    <r>
      <rPr>
        <sz val="11"/>
        <color theme="1"/>
        <rFont val="Times New Roman"/>
        <family val="1"/>
      </rPr>
      <t>,COM PORCA E ARRUELA GALVANIZADAS A FOGO,PADRAO RIOLUZ.FORNECIMENTO E INSTALACAO (OBS.:3%-DESGASTE DE FERRAMENTAS E EPI).</t>
    </r>
  </si>
  <si>
    <t>Composição : 21.003.0053-0 + Outras</t>
  </si>
  <si>
    <t>Composição : 21.003.0052-0 + Outras</t>
  </si>
  <si>
    <t>POSTE DE ACO, RETO, CONICO CONTINUO, ALTURA DE 3,50M, COM SAPATA E BASE (PADRAO RIO CIDADE CATETE), INCLUSIVE : Chumbador e chapa metálica, Escavação e Concreto 25 Mpa. FORNECIMENTO E INSTALAÇÃO</t>
  </si>
  <si>
    <t xml:space="preserve">POSTE DE ACO, RETO, CONICO CONTINUO, ALTURA DE 3,50M, SEM SAPATA, INCLUSIVE :  Escavação e Concreto 25 Mpa. FORNECIMENTO E INSTALAÇÃO. </t>
  </si>
  <si>
    <t>ARGAMASSA POLIMERICA IMPERMEABILIZANTE SEMIFLEXIVEL, BICOMPONENTE (MEMBRANA IMPERMEABILIZANTE ACRILICA)</t>
  </si>
  <si>
    <t>AJUDANTE ESPECIALIZADO COM ENCARGOS COMPLEMENTARES</t>
  </si>
  <si>
    <t xml:space="preserve">IMPERMEABILIZANTE FOSCO TRANSPARENTE    </t>
  </si>
  <si>
    <t>07328</t>
  </si>
  <si>
    <t>CONCRETO IMPORTADO DE USINA, UTILIZANDOBRITA 1, DE 25MPA</t>
  </si>
  <si>
    <t>ALVENARIA DE VEDAÇÃO DE BLOCOS CERÂMICOS FURADOS NA HORIZONTAL DE 9X19X19CM (ESPESSURA 9CM) DE PAREDES COM ÁREA LÍQUIDA MENOR QUE 6M² COM VÃOS E ARGAMASSA DE ASSENTAMENTO COM PREPARO EM BETONEIRA. AF_06/2014</t>
  </si>
  <si>
    <t>PINO DE ACO COM FURO, HASTE = 27 MM (ACAO DIRETA)</t>
  </si>
  <si>
    <t>CENTO</t>
  </si>
  <si>
    <t>TELA DE ACO SOLDADA GALVANIZADA/ZINCADA PARA ALVENARIA, FIO D = *1,20 A 1,70* MM, MALHA 15 X 15 MM, (C X L) *50 X 7,5* CM</t>
  </si>
  <si>
    <t>BLOCO CERAMICO (ALVENARIA DE VEDACAO), DE 9 X 19 X 19 CM</t>
  </si>
  <si>
    <t>MIL</t>
  </si>
  <si>
    <t>FASE : CABO DE COBRE FLEXÍVEL ISOLADO, 4 MM², ANTI-CHAMA 450/750 V, PARA CIRCUITOS TERMINAIS - FORNECIMENTO E INSTALAÇÃO. AF_12/2015</t>
  </si>
  <si>
    <t>TERRA : CABO DE COBRE FLEXÍVEL ISOLADO, 4 MM², ANTI-CHAMA 450/750 V, PARA CIRCUITOS TERMINAIS - FORNECIMENTO E INSTALAÇÃO. AF_12/2015</t>
  </si>
  <si>
    <t>&gt; Instalação Internamente nos Postes</t>
  </si>
  <si>
    <t>&gt; Instalação na Parede de Concreto da Rampa</t>
  </si>
  <si>
    <t>&gt; Instalação no Solo</t>
  </si>
  <si>
    <t>TRANSPORTE COM CAMINHÃO BASCULANTE DE 6 M3, EM VIA URBANA PAVIMENTADA, DMT ATÉ 30 KM (UNIDADE: M3XKM). AF_01/2018</t>
  </si>
  <si>
    <t>3</t>
  </si>
  <si>
    <t>4</t>
  </si>
  <si>
    <t>5</t>
  </si>
  <si>
    <t>7</t>
  </si>
  <si>
    <t>8</t>
  </si>
  <si>
    <t>ABRIGO PARA QUADRO GERAL DE LUZ - (Ver Projeto "Folha Única")</t>
  </si>
  <si>
    <t>PAVIMENTAÇÃO</t>
  </si>
  <si>
    <t>MEIO-FIO CURVO DE CONCRETO SIMPLES FCK=15MPA,MOLDADO NO LOCAL,TIPO DER-RJ,MEDINDO 0,15M NA BASE E COM ALTURA DE 0,30M,RE JUNTAMENTO COM ARGAMASSA DE CIMENTO E AREIA,NO TRACO 1:3,5,COM FORNECIMENTO DE TODOS OS MATERIAIS,ESCAVACAO E REATERRO (OBS.:10%- PECA CURVA 13,3%- PECA CURVA (10%) E DESGASTE DE FERRAMENTAS E EPI (3%)).</t>
  </si>
  <si>
    <t>MUDA DE ARVORE ORNAMENTAL, OITI/AROEIRA SALSA/ANGICO/IPE/JACARANDA OU EQUIVALENTE  DA REGIAO, H= *2* M</t>
  </si>
  <si>
    <t>MUDA DE ARVORE ORNAMENTAL, IPÊ AMARELO, COM ALTURA DE MUDA MAIOR QUE 2,00 M E MENOR OU IGUAL A 4,00 M.</t>
  </si>
  <si>
    <t xml:space="preserve">PLANTIO DE ÁRVORE ORNAMENTAL, IPÊ AMARELO, COM ALTURA DE MUDA MAIOR QUE 2,00 M E MENOR OU IGUAL A 4,00 M. AF_05/2018. FORNECIMENTO E PLANTIO. </t>
  </si>
  <si>
    <t xml:space="preserve">PLANTIO DE ÁRVORE ORNAMENTAL, IPÊ AMARELO, COM ALTURA DE MUDA MAIOR QUE 2,00 M E MENOR OU IGUAL A 4,00 M. AF_05/2018.  FORNECIMENTO E PLANTIO. </t>
  </si>
  <si>
    <t xml:space="preserve">  LÂMPADA DE 100W LED</t>
  </si>
  <si>
    <t>MARCACAO DE OBRA SEM INSTRUMENTO TOPOGRAFICO,CONSIDERADA A PROJECAO HORIZONTAL DA AREA ENVOLVENTE (OBS.:3% - DESGASTE DE FERRAMENTAS E EPI).</t>
  </si>
  <si>
    <t>00349</t>
  </si>
  <si>
    <t>PINUS, EM PECAS DE 2,50X30,00CM (1"X12")</t>
  </si>
  <si>
    <t>ARRANCAMENTO  E  DEMOLIÇÃO</t>
  </si>
  <si>
    <t>SI74106/001</t>
  </si>
  <si>
    <t>07319</t>
  </si>
  <si>
    <t>TINTA ASFALTICA IMPERMEABILIZANTE DISPERSA EM AGUA, PARA MATERIAIS CIMENTICIOS</t>
  </si>
  <si>
    <t>03.001.0001-1</t>
  </si>
  <si>
    <t>ESCAVACAO MANUAL DE VALA/CAVA EM MATERIAL DE 1¦ CATEGORIA (A(AREIA,ARGILA OU PICARRA),ATE 1,50M DE PROFUNDIDADE,EXCLUSIV E ESCORAMENTO E ESGOTAMENTO (OBS.:3% - DESGASTE DE FERRAMENTAS E EPI).</t>
  </si>
  <si>
    <t>REATERRO DE VALA/CAVA COM MATERIAL DE BOA QUALIDADE,UTILIZANDO VIBRO COMPACTADOR PORTATIL,EXCLUSIVE MATERIAL (OBS.:3%-DESGASTE DE FERRAMENTAS E EPI).</t>
  </si>
  <si>
    <t>MERCADO</t>
  </si>
  <si>
    <t>FIBRA DE POLIPROPILENO</t>
  </si>
  <si>
    <t>PINTURA PARA ESTRUTURAS DE CONCRETO : IMPERMEABILIZACAO DE ESTRUTURAS ENTERRADAS, COM TINTA ASFALTICA, DUAS DEMAOS.</t>
  </si>
  <si>
    <t>TELA DE ACO SOLDADA NERVURADA CA-60, Q-283, (4,48 KG/M2), DIAMETRO DO FIO =  6,0 MM, LARGURA =  2,45 X 120 M DE COMPRIMENTO, ESPACAMENTO DA MALHA = 10 X 10 CM</t>
  </si>
  <si>
    <t>DRENO OU BARBACA EM TUBO DE PVC,DIAMETRO DE 2",INCLUSIVE FORNECIMENTO DO TUBO E MATERIAL DRENANTE</t>
  </si>
  <si>
    <t>14559</t>
  </si>
  <si>
    <t>BRITA 3, PARA REGIAO METROPOLITANA DO RIO DE JANEIRO</t>
  </si>
  <si>
    <t>TELA DE ACO SOLDADA GALVANIZADA/ZINCADA PARA ALVENARIA, FIO  D = *1,20 A 1,70* MM, MALHA 15 X 15 MM, (C X L) *50 X 17,5* CM</t>
  </si>
  <si>
    <t>BLOCO VEDACAO CONCRETO 19 X 19 X 39 CM (CLASSE C - NBR 6136)</t>
  </si>
  <si>
    <t>MURO: ALVENARIA DE VEDAÇÃO DE BLOCOS VAZADOS DE CONCRETO DE 19X19X39CM (ESPESSURA 19CM) DE PAREDES COM ÁREA LÍQUIDA MAIOR OU IGUAL A 6M² SEM VÃOS E ARGAMASSA DE ASSENTAMENTO COM PREPARO EM BETONEIRA. AF_06/2014</t>
  </si>
  <si>
    <t xml:space="preserve">GLOBO REDONDO GRANDE PARA POSTE LUMINÁRIA   Ø 50cm </t>
  </si>
  <si>
    <t xml:space="preserve">EQUIPAMENTOS </t>
  </si>
  <si>
    <t>BANCOS E MESA COM BANQUETAS</t>
  </si>
  <si>
    <t>Cj</t>
  </si>
  <si>
    <t>Banco de Concreto, de 200 x 50 x 47 cm, 517kg/unid.</t>
  </si>
  <si>
    <t>Mesa Quadrada com 4 Banquetas, de concreto,  de 90 x 90 x 5 cm, Peso : 167 kg / unid, Tampo : Liso - Xadrez.</t>
  </si>
  <si>
    <t xml:space="preserve">MONTAGEM E INSTALAÇÃO DOS EQUIPAMENTOS </t>
  </si>
  <si>
    <t xml:space="preserve"> MESA PARA TÊNIS DE MESA</t>
  </si>
  <si>
    <t>DEMOLICAO MANUAL DE CONCRETO SIMPLES COM EMPILHAMENTO LATERAL DENTRO DO CANTEIRO DE SERVICO (OBS.:3%-DESGASTE DE FERRAMENTAS E EPI)    :</t>
  </si>
  <si>
    <t xml:space="preserve"> DEMOLIÇÃO E ARRANCAMENTO</t>
  </si>
  <si>
    <t>ARRANCAMENTO E REPLANTIO DE ARVORE ADULTA,ENTRE 3,00 E 5,00MDE ALTURA E ATE 20CM DE DIAMETRO,INCLUSIVE ESCAVACAO E REGA DURANTE 15 DIAS,EXCLUSIVE TRANSPORTE (OBS.:3%-DESGASTE DE FERRAMENTAS E EPI).</t>
  </si>
  <si>
    <t>CONCRETO FCK = 25MPA, TRAÇO 1:2,3:2,7 (CIMENTO/ AREIA MÉDIA/ BRITA 1)  - PREPARO MECÂNICO COM BETONEIRA 400 L. AF_07/2016.      4X0,15 X 0,15,X 1,00M=0,090M3</t>
  </si>
  <si>
    <t>LANCAMENTO/APLICACAO MANUAL DE CONCRETO EM FUNDACOES.      4X0,15 X 0,15,X 1,00M=0,090M3</t>
  </si>
  <si>
    <t xml:space="preserve">&gt; ESCADA </t>
  </si>
  <si>
    <t>&gt; CALÇADA E LASTRO</t>
  </si>
  <si>
    <t>DIVERSOS</t>
  </si>
  <si>
    <t>ARMACAO EM TELA DE ACO SOLDADA NERVURADA Q-283, ACO CA-60, 4,2MM, MALHA 10X10CM</t>
  </si>
  <si>
    <t>REVESTIMENTO</t>
  </si>
  <si>
    <t>MURO : CHAPISCO APLICADO EM ALVENARIAS E ESTRUTURAS DE CONCRETO INTERNAS, COM COLHER DE PEDREIRO.  ARGAMASSA TRAÇO 1:3 COM PREPARO EM BETONEIRA 400L. AF_06/2014</t>
  </si>
  <si>
    <t>MURO : MASSA ÚNICA, PARA RECEBIMENTO DE PINTURA, EM ARGAMASSA TRAÇO 1:2:8, PREPARO MECÂNICO COM BETONEIRA 400L, APLICADA MANUALMENTE EM FACES INTERNAS DE PAREDES, ESPESSURA DE 20MM, COM EXECUÇÃO DE TALISCAS. AF_06/2014</t>
  </si>
  <si>
    <t>&gt; MEIO-FIO</t>
  </si>
  <si>
    <t>MEIO-FIO RETO DE CONCRETO SIMPLES FCK=15MPA,MOLDADO NO LOCAL,TIPO DER-RJ,MEDINDO 0,15M NA BASE E COM ALTURA DE 0,30M,REJ UNTAMENTO COM ARGAMASSA DE CIMENTO E AREIA,NO TRACO 1:3,5,COM FORNECIMENTO DE TODOS OS MATERIAIS,ESCAVACAO E REATERRO (OBS.:3%-DESGASTE DE FERRAMENTAS E EPI).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</si>
  <si>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</si>
  <si>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02884</t>
  </si>
  <si>
    <t>FECHADURA DE SOBREPOR, TIPO CAIXAO, RETANGULAR, ACABAMENTO FERRO RESINADO PRETO,DE (100X86X38)MM</t>
  </si>
  <si>
    <t>00510</t>
  </si>
  <si>
    <t>RECEPTACULO DE PORCELANA P/LAMPADA INCANDESCENTE, BASE E-27</t>
  </si>
  <si>
    <t>00600</t>
  </si>
  <si>
    <t>VIDRO PLANO TRANSPARENTE, COMUM, COM ESPESSURA DE 3MM</t>
  </si>
  <si>
    <t>02315</t>
  </si>
  <si>
    <t>DISJUNTOR MONOFASICO DE 250V, DE 010 A 030A</t>
  </si>
  <si>
    <t>02316</t>
  </si>
  <si>
    <t>CORDAO PARALELO COM ISOLAMENTO TERMOPLASTICO, ATE 750V, DE 2X2,5MM2</t>
  </si>
  <si>
    <t>00252</t>
  </si>
  <si>
    <t>PARAFUSO C/ROSCA, DE (8x100)MM</t>
  </si>
  <si>
    <t>02472</t>
  </si>
  <si>
    <t>GLOBO ESFERICO, EM VIDRO, TIPO LEITOSO,DE 4"X6"</t>
  </si>
  <si>
    <t>04915</t>
  </si>
  <si>
    <t>DOBRADICA EM FERRO LAMINADO, COM PINO DEFERRO REVERSIVEL, DE 3"X3"X5/64"</t>
  </si>
  <si>
    <t>05914</t>
  </si>
  <si>
    <t>INTERRUPTOR DE SOBREPOR SIMPLES, DE 10A-250V</t>
  </si>
  <si>
    <t>08000</t>
  </si>
  <si>
    <t>TELHA ONDULADA DE CIMENTO, SEM AMIANTO,REFORCADA C/FIOS SINTETICOS (CRFS), DE (2,44X1,10)M E C/ESPES. DE 6MM</t>
  </si>
  <si>
    <t>02317</t>
  </si>
  <si>
    <t>FITA ISOLANTE, ROLO DE 19MMX20M</t>
  </si>
  <si>
    <t>SANITARIO COM VASO E CHUVEIRO PARA PESSOAL DE OBRA,COM 2,00M2 EXECUTADO COM TABUAS DE MADEIRA DE 3¦,E TELHAS ONDULADAS D E 6MM DE FIBROCIMENTO,INCLUSIVE INSTALACOES,APARELHOS,ESQUADRIAS E FERRAGENS CONSIDERANDO REAPROVEITAMENTO DAS INSTALACO ES E APARELHOS 2 VEZES (OBS.:3% - DESGASTE DE FERRAMENTAS E EPI 10% - GRAMPO E ROSETA DE MADEIRA).</t>
  </si>
  <si>
    <t>00986</t>
  </si>
  <si>
    <t>TARJETA DE FIO REDONDO, EM FERRO CROMADO, DE 2"</t>
  </si>
  <si>
    <t>02616</t>
  </si>
  <si>
    <t>TUBO DE PVC RIGIDO, PONTA/BOLSA COM VIROLA, EM BARRAS DE 6,00M, DE 75MM</t>
  </si>
  <si>
    <t>02568</t>
  </si>
  <si>
    <t>SIFAO EM METAL CROMADO, DE 1"x1.1/2"</t>
  </si>
  <si>
    <t>02562</t>
  </si>
  <si>
    <t>TUBO DE PVC RIGIDO ROSQUEAVEL, EM BARRASDE 6,00M, ROSCA EM AMBAS AS EXTREMIDADES, DE 1/2"</t>
  </si>
  <si>
    <t>00701</t>
  </si>
  <si>
    <t>REGISTRO DE GAVETA DE BRONZE, DE 1¦ QUALIDADE COM ROSCA DE AMBOS OS LADOS, DE 1/2"</t>
  </si>
  <si>
    <t>00666</t>
  </si>
  <si>
    <t>BUCHA DE NYLON, TIPO S-12</t>
  </si>
  <si>
    <t>00665</t>
  </si>
  <si>
    <t>PARAFUSO DE LATAO, ROSCA SOBERBA, CABECACHATA, DE 5,5MMX2.1/2"</t>
  </si>
  <si>
    <t>03944</t>
  </si>
  <si>
    <t>ASSENTO PLASTICO, PARA VASO SANITARIO, TIPO POPULAR</t>
  </si>
  <si>
    <t>07020</t>
  </si>
  <si>
    <t>VASO SANITARIO SIFONADO, DE LOUCA BRANCA, TIPO POPULAR, INCLUSIVE ACESSORIOS DEFIXACAO</t>
  </si>
  <si>
    <t>03960</t>
  </si>
  <si>
    <t>ANEL DE CONCRETO PRE-FABRICADO, P/CAIXADE INSPECAO, COM 600MM DE DIAMETRO INT.,40MM DE ESPESSURA, COM ALTURA DE 300MM</t>
  </si>
  <si>
    <t>03961</t>
  </si>
  <si>
    <t>ANEL DE CONCRETO PRE-FABRICADO, P/CAIXADE INSPECAO, COM 600MM DE DIAMETRO INT.,40MM DE ESPESSURA, COM ALTURA DE 150MM</t>
  </si>
  <si>
    <t>05953</t>
  </si>
  <si>
    <t>BOLSA DE LIGACAO PARA VASO SANITARIO</t>
  </si>
  <si>
    <t>02623</t>
  </si>
  <si>
    <t>JOELHO 90§ DE PVC RIGIDO ROSQUEAVEL, DE1/2"</t>
  </si>
  <si>
    <t>03926</t>
  </si>
  <si>
    <t>CAIXA DE DESCARGA EXTERNA, PLASTICA</t>
  </si>
  <si>
    <t>02672</t>
  </si>
  <si>
    <t>RALO SIFONADO DE PVC RIGIDO, COM SAIDA DE 75MM, COM GRELHA REDONDA E PORTA GRELHA, DE (150X185X75)MM</t>
  </si>
  <si>
    <t>02655</t>
  </si>
  <si>
    <t>CURVA 90§ DE PVC CURTA PARA ESGOTO, DE 100MM</t>
  </si>
  <si>
    <t>02648</t>
  </si>
  <si>
    <t>CHUVEIRO DE PLASTICO BRANCO COMPLETO</t>
  </si>
  <si>
    <t>02634</t>
  </si>
  <si>
    <t>TE 90§ DE PVC RIGIDO ROSQUEAVEL, DE 1/2"</t>
  </si>
  <si>
    <t>03963</t>
  </si>
  <si>
    <t>FUNDO PARA CAIXA DE INSPECAO COM DIAMETRO DE 600MM</t>
  </si>
  <si>
    <t>INSTALACAO E LIGACAO PROVISORIA PARA ABASTECIMENTO DE AGUA E ESGOTAMENTO SANITARIO EM CANTEIRO DE OBRAS,INCLUSIVE ESCAVA CAO,EXCLUSIVE REPOSICAO DA PAVIMENTACAO DO LOGRADOURO PUBLICO (OBS.:3% - DESGASTE DE FERRAMENTAS E EPI).</t>
  </si>
  <si>
    <t>ESCAVACAO MANUAL DE VALA/CAVA EM MATERIAL DE 1¦ CATEGORIA (A(AREIA,ARGILA OU PICARRA),ATE 1,50M DE PROFUNDIDADE,EXCLUSIV E ESCORAMENTO E ESGOTAMENTO (OBS.:3% - DESGASTE DE FERRAMENTAS E EPI).  4X0,20x0,20x1,00m=0,160m3</t>
  </si>
  <si>
    <t>CAMADA VERTICAL DRENANTE FEITA COM PEDRA BRITADA, INCLUSIVE FORNECIMENTO DO MATERIAL</t>
  </si>
  <si>
    <t>14543</t>
  </si>
  <si>
    <t>PEDRA BRITADA 1 E 2 (MEDIA), PARA REGIAOMETROPOLITANA DO RIO DE JANEIRO</t>
  </si>
  <si>
    <t>9</t>
  </si>
  <si>
    <t>10</t>
  </si>
  <si>
    <t>11</t>
  </si>
  <si>
    <t>12</t>
  </si>
  <si>
    <t>13</t>
  </si>
  <si>
    <t>CONCRETO DOSADO RACIONALMENTE PARA UMA RESISTENCIA CARACTERISTICA A COMPRESSAO DE 15MPA,INCLUSIVE MATERIAIS,TRANSPORTE,P REPARO COM BETONEIRA,LANCAMENTO E ADENSAMENTO</t>
  </si>
  <si>
    <t>CONCRETO DOSADO RACIONALMENTE PARA UMA RESISTENCIA CARACTERISTICA A COMPRESSAO DE 25MPA,INCLUSIVE MATERIAIS,TRANSPORTE,P REPARO COM BETONEIRA,LANCAMENTO E ADENSAMENTO (OBS.:5%-PERDAS).</t>
  </si>
  <si>
    <t>00149</t>
  </si>
  <si>
    <t>CIMENTO PORTLAND EM SACO DE 50KG</t>
  </si>
  <si>
    <t>00001</t>
  </si>
  <si>
    <t>AREIA LAVADA, GROSSA, PARA REGIAO METROPOLITANA DO RIO DE JANEIRO</t>
  </si>
  <si>
    <t>FORMAS DE CHAPAS DE MADEIRA COMPENSADA,EMPREGANDO-SE AS DE 14MM,RESINADAS,E TAMBEM AS DE 20MM DE ESPESSURA,PLASTIFICADAS ,SERVINDO 4 VEZES,E A MADEIRA AUXILIAR SERVINDO 3 VEZES,INCLUSIVE FORNECIMENTO E DESMOLDAGEM,EXCLUSIVE ESCORAMENTO (OBS.:3%-DESGASTE DE FERRAMENTAS E EPI).</t>
  </si>
  <si>
    <t>00350</t>
  </si>
  <si>
    <t>54.001.0178-1 PINUS EM PECAS DE 2,50X22,50CM, (1"X9")</t>
  </si>
  <si>
    <t>00288</t>
  </si>
  <si>
    <t>CHAPA DE MADEIRA COMPENSADA, PLASTIFICADA, COM ESPESSURA DE 20MM</t>
  </si>
  <si>
    <t>00278</t>
  </si>
  <si>
    <t>CHAPA DE MADEIRA COMPENSADA, RESINADA, COM ESPESSURA DE 14MM</t>
  </si>
  <si>
    <t>CONCRETO DOSADO RACIONALMENTE PARA UMA RESISTENCIA CARACTERISTICA A COMPRESSAO DE 25MPA, COM FIBRA DE POLIPROPILENO,INCLUSIVE MATERIAIS,TRANSPORTE,P REPARO COM BETONEIRA,LANCAMENTO E ADENSAMENTO (OBS.:5%-PERDAS).</t>
  </si>
  <si>
    <t>BARRA DE ACO CA-50,COM SALIENCIA OU MOSSA,COEFICIENTE DE CONFORMACAO SUPERFICIAL MINIMO (ADERENCIA) IGUAL A 1,5,DIAMETRO DE 6,3MM,DESTINADA A ARMADURA DE CONCRETO ARMADO,10% DE PERDAS DE PONTAS E ARAME 18.FORNECIMENTO</t>
  </si>
  <si>
    <t>06211</t>
  </si>
  <si>
    <t>ACO CA-50, ESTIRADO, PRECO DE FABRICA, NO DIAMETRO DE 06,3MM</t>
  </si>
  <si>
    <t>FIO DE ACO CA-60,REDONDO,COM SALIENCIA OU MOSSA,COEFICIENTE DE CONFORMACAO SUPERFICIAL MINIMO(ADERENCIA)IGUAL A 1,5,DIAM ETRO ENTRE 4,2 A 5MM,DESTINADO A ARMADURA DE PECAS DE CONCRETO ARMADO,COMPREENDENDO 10% DE PERDAS DE PONTAS E ARAME 18.F ORNECIMENTO</t>
  </si>
  <si>
    <t>06129</t>
  </si>
  <si>
    <t>ACO CA-60, ESTIRADO, PRECO DE FABRICA, NO DIAMETRO DE 05,0MM</t>
  </si>
  <si>
    <t>06128</t>
  </si>
  <si>
    <t>ACO CA-60, ESTIRADO, PRECO DE FABRICA, NO DIAMETRO DE 04,2MM</t>
  </si>
  <si>
    <t>BARRA DE ACO CA-50,COM SALIENCIA OU MOSSA,COEFICIENTE DE CONFORMACAO SUPERFICIAL MINIMO (ADERENCIA) IGUAL A 1,5,DIAMETRO DE 8 A 12,5MM,DESTINADA A ARMADURA DE CONCRETO ARMADO,10%DE PERDAS DE PONTAS E ARAME 18.FORNECIMENTO</t>
  </si>
  <si>
    <t>06214</t>
  </si>
  <si>
    <t>ACO CA-50, ESTIRADO, PRECO DE FABRICA, NO DIAMETRO DE 12,5MM</t>
  </si>
  <si>
    <t>06213</t>
  </si>
  <si>
    <t>ACO CA-50, ESTIRADO, PRECO DE FABRICA, NO DIAMETRO DE 10,0MM</t>
  </si>
  <si>
    <t>06212</t>
  </si>
  <si>
    <t>ACO CA-50, ESTIRADO, PRECO DE FABRICA, NO DIAMETRO DE 08,0MM</t>
  </si>
  <si>
    <t>02.020.0001-A</t>
  </si>
  <si>
    <t>PLACA DE IDENTIFICACAO DE OBRA PUBLICA,INCLUSIVE PINTURA E SUPORTES DE MADEIRA.FORNECIMENTO E COLOCACAO</t>
  </si>
  <si>
    <t>20118</t>
  </si>
  <si>
    <t>MAO-DE-OBRA DE PINTOR, INCLUSIVE ENCARGOS SOCIAIS DESONERADOS</t>
  </si>
  <si>
    <t>30411</t>
  </si>
  <si>
    <t>19.004.0001-C CAMINHAO CARROC. FIXA, 3,5T (CP)</t>
  </si>
  <si>
    <t>02.002.0007-A</t>
  </si>
  <si>
    <t>TAPUME DE VEDACAO OU PROTECAO EXECUTADO COM TELHAS TRAPEZOIDAIS DE ACO GALVANIZADO,ESPESSURA DE 0,5MM,ESTAS COM 4 VEZES DE UTILIZACAO,INCLUSIVE ENGRADAMENTO DE MADEIRA,UTILIZADO 2VEZES,EXCLUSIVE PINTURA</t>
  </si>
  <si>
    <t>02.004.0001-A</t>
  </si>
  <si>
    <t>20060</t>
  </si>
  <si>
    <t>MAO-DE-OBRA DE ELETRICISTA DA CONSTRUCAOCIVIL, INCLUSIVE ENCARGOS SOCIAIS DESONERADOS</t>
  </si>
  <si>
    <t>02.004.0012-A</t>
  </si>
  <si>
    <t>SANITARIO COM VASO E CHUVEIRO PARA PESSOAL DE OBRA,COM 2,00M2 EXECUTADO COM TABUAS DE MADEIRA DE 3¦,E TELHAS ONDULADAS D E 6MM DE FIBROCIMENTO,INCLUSIVE INSTALACOES,APARELHOS,ESQUADRIAS E FERRAGENS CONSIDERANDO REAPROVEITAMENTO DAS INSTALACO ES E APARELHOS 2 VEZES</t>
  </si>
  <si>
    <t>30245</t>
  </si>
  <si>
    <t>11.001.0001-B CONCRETO FCK 10MPA</t>
  </si>
  <si>
    <t>30254</t>
  </si>
  <si>
    <t>11.002.0013-B PREPARO CONCR. BETON. 320L; 2,0M3/H</t>
  </si>
  <si>
    <t>30270</t>
  </si>
  <si>
    <t>11.002.0035-B LANCAMENTO CONC.S/ARM.2,0M3/H, HORIZ.</t>
  </si>
  <si>
    <t>30362</t>
  </si>
  <si>
    <t>13.301.0080-B PISO CIMENTADO ESP. 1,5CM</t>
  </si>
  <si>
    <t>SI000088264</t>
  </si>
  <si>
    <t>01.018.0001-A</t>
  </si>
  <si>
    <t>03.001.0001-B</t>
  </si>
  <si>
    <t>SI74010/001</t>
  </si>
  <si>
    <t>SI000097914</t>
  </si>
  <si>
    <t>SI74034/001</t>
  </si>
  <si>
    <t>MARCACAO DE OBRA SEM INSTRUMENTO TOPOGRAFICO,CONSIDERADA A PROJECAO HORIZONTAL DA AREA ENVOLVENTE</t>
  </si>
  <si>
    <t>20046</t>
  </si>
  <si>
    <t>MAO-DE-OBRA DE CARPINTEIRO DE FORMA DE CONCRETO, INCLUSIVE ENCARGOS SOCIAIS DESONERADOS</t>
  </si>
  <si>
    <t>SI000005940</t>
  </si>
  <si>
    <t>SI000005940 PÁ CARREGADEIRA SOBRE RODAS, POTÊNCIA LÍQUIDA 128 HP, CAPACIDADE DA CAÇAMBA 1,7 A 2,8 M3, PESO OPERACIONAL 11632 KG - CHP DIURNO. AF_06/2014</t>
  </si>
  <si>
    <t>SI000005811</t>
  </si>
  <si>
    <t>SI000005811 CAMINHÃO BASCULANTE 6 M3, PESO BRUTO TOTAL 16.000 KG, CARGA ÚTIL MÁXIMA 13.071 KG, DISTÂNCIA ENTRE EIXOS 4,80 M, POTÊNCIA 230 CV INCLUSIVE CAÇAMBA METÁLICA - CHP DIURNO. AF_06/2014</t>
  </si>
  <si>
    <t>SI000067827</t>
  </si>
  <si>
    <t>SI000067827 CAMINHÃO BASCULANTE 6 M3 TOCO, PESO BRUTO TOTAL 16.000 KG, CARGA ÚTIL MÁXIMA 11.130 KG, DISTÂNCIA ENTRE EIXOS 5,36 M, POTÊNCIA 185 CV, INCLUSIVE CAÇAMBA METÁLICA - CHI DIURNO. AF_06/2014</t>
  </si>
  <si>
    <t>SI000067826</t>
  </si>
  <si>
    <t>SI000067826 CAMINHÃO BASCULANTE 6 M3 TOCO, PESO BRUTO TOTAL 16.000 KG, CARGA ÚTIL MÁXIMA 11.130 KG, DISTÂNCIA ENTRE EIXOS 5,36 M, POTÊNCIA 185 CV, INCLUSIVE CAÇAMBA METÁLICA - CHP DIURNO. AF_06/2014</t>
  </si>
  <si>
    <t>SI000005853</t>
  </si>
  <si>
    <t>SI000005853 TRATOR DE ESTEIRAS, POTÊNCIA 150 HP, PESO OPERACIONAL 16,7 T, COM RODA MOTRIZ ELEVADA E LÂMINA 3,18 M3 - CHI DIURNO. AF_06/2014</t>
  </si>
  <si>
    <t>SI000005851</t>
  </si>
  <si>
    <t>SI000005851 TRATOR DE ESTEIRAS, POTÊNCIA 150 HP, PESO OPERACIONAL 16,7 T, COM RODA MOTRIZ ELEVADA E LÂMINA 3,18 M3 - CHP DIURNO. AF_06/2014</t>
  </si>
  <si>
    <t>05.001.0001-A</t>
  </si>
  <si>
    <t>DEMOLICAO MANUAL DE CONCRETO SIMPLES COM EMPILHAMENTO LATERAL DENTRO DO CANTEIRO DE SERVICO</t>
  </si>
  <si>
    <t>09.007.0002-A</t>
  </si>
  <si>
    <t>ARRANCAMENTO E REPLANTIO DE ARVORE ADULTA,ENTRE 3,00 E 5,00MDE ALTURA E ATE 20CM DE DIAMETRO,INCLUSIVE ESCAVACAO E REGA DURANTE 15 DIAS,EXCLUSIVE TRANSPORTE</t>
  </si>
  <si>
    <t>20133</t>
  </si>
  <si>
    <t>MAO-DE-OBRA DE SERVENTE PARA SERVICOS DECONSERVACAO, INCLUSIVE ENCARGOS SOCIAISDESONERADOS</t>
  </si>
  <si>
    <t>(1) Composição : 02.020.0001-A</t>
  </si>
  <si>
    <t>(2) Composição : 02.020.0001-A</t>
  </si>
  <si>
    <r>
      <t xml:space="preserve">ARRANCAMENTO E REASSENTAMENTO DE COBERTURA PARA PONTO DE ÔNIBUS                    </t>
    </r>
    <r>
      <rPr>
        <strike/>
        <sz val="11"/>
        <rFont val="Times New Roman"/>
        <family val="1"/>
      </rPr>
      <t xml:space="preserve"> PLACA DE IDENTIFICACAO DE OBRA PUBLICA,INCLUSIVE PINTURA E SUPORTES DE MADEIRA.FORNECIMENTO E COLOCACAO</t>
    </r>
  </si>
  <si>
    <t>CANTEIROS (Bancos, Mesas, Jardineira, Rampa, Ponto de Ônibus), ESCADA</t>
  </si>
  <si>
    <t>03.011.0015-B</t>
  </si>
  <si>
    <t>11.003.0002-A</t>
  </si>
  <si>
    <t>11.003.0005-B</t>
  </si>
  <si>
    <t>Composição : 11.003.0005-B</t>
  </si>
  <si>
    <t>11.005.0001-B</t>
  </si>
  <si>
    <t>REATERRO DE VALA/CAVA COM MATERIAL DE BOA QUALIDADE,UTILIZANDO VIBRO COMPACTADOR PORTATIL,EXCLUSIVE MATERIAL</t>
  </si>
  <si>
    <t>20111</t>
  </si>
  <si>
    <t>MAO-DE-OBRA DE OPERADOR DE MAQUINA (TRATOR, ETC.), INCLUSIVE ENCARGOS SOCIAIS DESONERADOS</t>
  </si>
  <si>
    <t>30694</t>
  </si>
  <si>
    <t>19.006.0030-E SOQUETE VIBRATORIO 78KG; 2,5CV (CI)</t>
  </si>
  <si>
    <t>30693</t>
  </si>
  <si>
    <t>19.006.0030-C SOQUETE VIBRATORIO 78KG; 2,5CV (CP)</t>
  </si>
  <si>
    <t>30260</t>
  </si>
  <si>
    <t>11.002.0023-B LANCAMENTO CONC.C/ARM.2,0M3/H,HORIZ/VERT</t>
  </si>
  <si>
    <t>30246</t>
  </si>
  <si>
    <t>11.001.0005-B CONCRETO FCK 15MPA</t>
  </si>
  <si>
    <t>CONCRETO DOSADO RACIONALMENTE PARA UMA RESISTENCIA CARACTERISTICA A COMPRESSAO DE 25MPA,INCLUSIVE MATERIAIS,TRANSPORTE,P REPARO COM BETONEIRA,LANCAMENTO E ADENSAMENTO</t>
  </si>
  <si>
    <t>FORMAS DE CHAPAS DE MADEIRA COMPENSADA,EMPREGANDO-SE AS DE 14MM,RESINADAS,E TAMBEM AS DE 20MM DE ESPESSURA,PLASTIFICADAS ,SERVINDO 4 VEZES,E A MADEIRA AUXILIAR SERVINDO 3 VEZES,INCLUSIVE FORNECIMENTO E DESMOLDAGEM,EXCLUSIVE ESCORAMENTO</t>
  </si>
  <si>
    <t>30408</t>
  </si>
  <si>
    <t>17.025.0040-B PINTURA C/EMULSAO OLEOSA</t>
  </si>
  <si>
    <t>11.009.0011-A</t>
  </si>
  <si>
    <t>11.011.0027-A</t>
  </si>
  <si>
    <t>11.009.0013-A</t>
  </si>
  <si>
    <t>11.011.0029-A</t>
  </si>
  <si>
    <t>11.009.0014-B</t>
  </si>
  <si>
    <t>11.011.0030-B</t>
  </si>
  <si>
    <t>CORTE,DOBRAGEM,MONTAGEM E COLOCACAO DE FERRAGENS NAS FORMAS,ACO CA-60,EM FIO REDONDO,COM DIAMETRO DE 4,2 A 5MM</t>
  </si>
  <si>
    <t>20015</t>
  </si>
  <si>
    <t>MAO-DE-OBRA DE ARMADOR DE CONCRETO ARMADO, INCLUSIVE ENCARGOS SOCIAIS DESONERADOS</t>
  </si>
  <si>
    <t>CORTE,DOBRAGEM,MONTAGEM E COLOCACAO DE FERRAGENS NAS FORMAS,ACO CA-50,EM BARRAS REDONDAS,COM DIAMETRO IGUAL A 6,3MM</t>
  </si>
  <si>
    <t>CORTE,DOBRAGEM,MONTAGEM E COLOCACAO DE FERRAGENS NAS FORMAS,ACO CA-50,EM BARRAS REDONDAS,COM DIAMETRO DE 8 A 12,5MM (OBS.:3%-DESGASTE DE FERRAMENTAS E EPI).</t>
  </si>
  <si>
    <t>IMPERMEABILIZACAO DE ESTRUTURAS ENTERRADAS, COM TINTA ASFALTICA, DUAS DEMAOS.</t>
  </si>
  <si>
    <t>07154</t>
  </si>
  <si>
    <t>Composição : SI73994/001</t>
  </si>
  <si>
    <t>06.085.0020-A</t>
  </si>
  <si>
    <t>06.082.0050-A</t>
  </si>
  <si>
    <t>SI000087457</t>
  </si>
  <si>
    <t>ALVENARIA DE VEDAÇÃO DE BLOCOS VAZADOS DE CONCRETO DE 19X19X39CM (ESPESSURA 19CM) DE PAREDES COM ÁREA LÍQUIDA MAIOR OU IGUAL A 6M² SEM VÃOS E ARGAMASSA DE ASSENTAMENTO COM PREPARO EM BETONEIRA. AF_06/2014</t>
  </si>
  <si>
    <t>37395</t>
  </si>
  <si>
    <t>34548</t>
  </si>
  <si>
    <t>00654</t>
  </si>
  <si>
    <t>SI000088309</t>
  </si>
  <si>
    <t>SI000087292</t>
  </si>
  <si>
    <t>SI000087292 ARGAMASSA TRAÇO 1:2:8 (CIMENTO, CAL E AREIA MÉDIA) PARA EMBOÇO/MASSA ÚNICA/ASSENTAMENTO DE ALVENARIA DE VEDAÇÃO, PREPARO MECÂNICO COM BETONEIRA 400 L. AF_06/2014</t>
  </si>
  <si>
    <t>SI000068053</t>
  </si>
  <si>
    <t>03777</t>
  </si>
  <si>
    <t>SI000088270</t>
  </si>
  <si>
    <r>
      <t xml:space="preserve">ARMACAO EM TELA DE ACO SOLDADA NERVURADA  Q-92,  Ø 4,20 mm, de 15x15cm, 1,48 kg/m2               </t>
    </r>
    <r>
      <rPr>
        <strike/>
        <sz val="11"/>
        <rFont val="Times New Roman"/>
        <family val="1"/>
      </rPr>
      <t>Q-138, ACO CA-60, 4,2MM, MALHA 10X10CM</t>
    </r>
  </si>
  <si>
    <t>SI000096536</t>
  </si>
  <si>
    <t>40304</t>
  </si>
  <si>
    <t>06189</t>
  </si>
  <si>
    <t>05073</t>
  </si>
  <si>
    <t>04517</t>
  </si>
  <si>
    <t>04491</t>
  </si>
  <si>
    <t>02692</t>
  </si>
  <si>
    <t>SI000088262</t>
  </si>
  <si>
    <t>SI000088239</t>
  </si>
  <si>
    <t>SI000091693</t>
  </si>
  <si>
    <t>SI000091693 SERRA CIRCULAR DE BANCADA COM MOTOR ELÉTRICO POTÊNCIA DE 5HP, COM COIFA PARA DISCO 10" - CHI DIURNO. AF_08/2015</t>
  </si>
  <si>
    <t>SI000091692</t>
  </si>
  <si>
    <t>SI000091692 SERRA CIRCULAR DE BANCADA COM MOTOR ELÉTRICO POTÊNCIA DE 5HP, COM COIFA PARA DISCO 10" - CHP DIURNO. AF_08/2015</t>
  </si>
  <si>
    <t>01873</t>
  </si>
  <si>
    <t>SI000088247</t>
  </si>
  <si>
    <t>SI000088629</t>
  </si>
  <si>
    <t>SI000088629 ARGAMASSA TRAÇO 1:3 (CIMENTO E AREIA MÉDIA), PREPARO MANUAL. AF_08/2014</t>
  </si>
  <si>
    <t>Composição : SI000091942</t>
  </si>
  <si>
    <r>
      <t xml:space="preserve">CAIXA RETANGULAR 4" X 4"  INSTALADA EM PISO, DE ALUMÍNIO          </t>
    </r>
    <r>
      <rPr>
        <strike/>
        <sz val="11"/>
        <rFont val="Times New Roman"/>
        <family val="1"/>
      </rPr>
      <t xml:space="preserve">ALTA (2,00 M DO PISO), PVC, INSTALADA EM PAREDE </t>
    </r>
    <r>
      <rPr>
        <sz val="11"/>
        <rFont val="Times New Roman"/>
        <family val="1"/>
      </rPr>
      <t>- FORNECIMENTO E INSTALAÇÃO. AF_12/2015</t>
    </r>
  </si>
  <si>
    <t>SI000091936</t>
  </si>
  <si>
    <t>CAIXA OCTOGONAL 4" X 4", PVC, INSTALADA EM LAJE - FORNECIMENTO E INSTALAÇÃO. AF_12/2015</t>
  </si>
  <si>
    <t>12001</t>
  </si>
  <si>
    <t>Composição : 18.027.0434-A</t>
  </si>
  <si>
    <r>
      <t xml:space="preserve">LUMINARIA TIPO SPOT   BALIZADOR DE EMBUTIR NA PAREDE COM 12W EM LED, COM VIDRO BLINDADO.                                              </t>
    </r>
    <r>
      <rPr>
        <strike/>
        <sz val="11"/>
        <rFont val="Times New Roman"/>
        <family val="1"/>
      </rPr>
      <t xml:space="preserve">       ,DIRECIONAL,EXCLUSIVE LAMPADA.          </t>
    </r>
    <r>
      <rPr>
        <sz val="11"/>
        <rFont val="Times New Roman"/>
        <family val="1"/>
      </rPr>
      <t xml:space="preserve">   </t>
    </r>
  </si>
  <si>
    <t>13382</t>
  </si>
  <si>
    <t>SI000005928</t>
  </si>
  <si>
    <t>SI000005928 GUINDAUTO HIDRÁULICO, CAPACIDADE MÁXIMA DE CARGA 6200 KG, MOMENTO MÁXIMO DE CARGA 11,7 TM, ALCANCE MÁXIMO HORIZONTAL 9,70 M, INCLUSIVE CAMINHÃO TOCO PBT 16.000 KG, POTÊNCIA DE 189 CV - CHP DIURNO. AF_06/2014</t>
  </si>
  <si>
    <t>Composição : SI000083478</t>
  </si>
  <si>
    <t>LUMINARIA FECHADA PARA ILUMINACAO PUBLICA :   GLOBO REDONDO GRANDE PARA POSTE LUMINÁRIA   Ø  50cm  E  LÂMPADA DE 100W LED. FORNECIMENTO E INSTALACAO                        - LAMPADAS DE 250/500W - FORNECIMENTO E INSTALACAO (EXCLUINDO LAMPADAS)</t>
  </si>
  <si>
    <t>39374</t>
  </si>
  <si>
    <t>13390</t>
  </si>
  <si>
    <t>03749</t>
  </si>
  <si>
    <t>Composição : SI000097601</t>
  </si>
  <si>
    <r>
      <t xml:space="preserve">REFLETOR  DE LED, PARA ILUMINAÇÃO PÚBLICA DE 200W.                                        </t>
    </r>
    <r>
      <rPr>
        <strike/>
        <sz val="11"/>
        <rFont val="Times New Roman"/>
        <family val="1"/>
      </rPr>
      <t xml:space="preserve"> EM ALUMÍNIO COM SUPORTE E ALÇA, LÂMPADA 250 W - FORNECIMENTO E INSTALAÇÃO. </t>
    </r>
  </si>
  <si>
    <t>21.003.0053-A</t>
  </si>
  <si>
    <t>Composição : 21.050.0120-A</t>
  </si>
  <si>
    <t>21.001.0160-A</t>
  </si>
  <si>
    <t>ASSENTAMENTO DE POSTE RETO,DE ACO DE 3,50 ATE 6,00M,COM FLANGE DE ACO SOLDADO NA SUA BASE,FIXADO POR PARAFUSOS CHUMBADOR ES ENGASTADOS EM FUNDACAO DE CONCRETO,EXCLUSIVE FUNDACAO EFORNECIMENTO DO POSTE</t>
  </si>
  <si>
    <t>20005</t>
  </si>
  <si>
    <t>MAO-DE-OBRA DE AJUDANTE DE MONTADOR ELETROMECANICO (ILUMINACAO PUBLICA), INCLUSIVE ENCARGOS SOCIAIS DESONERADOS</t>
  </si>
  <si>
    <t xml:space="preserve">Escavação para Fundação de 1 Poste : 0,40x0,40x0,50=0,08m3xR$ 43,91= </t>
  </si>
  <si>
    <t>Concreto para Fundação de 1 Poste : 0,40x0,40x0,50=0,08m3 x R$ 389,98=</t>
  </si>
  <si>
    <t>Escavação para Fundação de 1 Poste : 0,40x0,40x1,00=0,16m3xR$ 43,91=</t>
  </si>
  <si>
    <t>Concreto para Fundação de 1 Poste : 0,40x0,40x1,00=0,16m3 x R$ 389,98=</t>
  </si>
  <si>
    <t>SI000091928</t>
  </si>
  <si>
    <t>21127</t>
  </si>
  <si>
    <t>00981</t>
  </si>
  <si>
    <t>SI000091856</t>
  </si>
  <si>
    <t>ELETRODUTO FLEXÍVEL CORRUGADO, PVC, DN 32 MM (1"), PARA CIRCUITOS TERMINAIS, INSTALADO EM PAREDE - FORNECIMENTO E INSTALAÇÃO. AF_12/2015</t>
  </si>
  <si>
    <t>02690</t>
  </si>
  <si>
    <t>SI74131/004</t>
  </si>
  <si>
    <t>34616</t>
  </si>
  <si>
    <t>01570</t>
  </si>
  <si>
    <t>34709</t>
  </si>
  <si>
    <t>12038</t>
  </si>
  <si>
    <t>CONCRETO ARMADO,FCK=25MPA,INCLUINDO MATERIAIS PARA 1,00M3 DE CONCRETO(IMPORTADO DE USINA)ADENSADO E COLOCADO,14,00M2 DE AREA MOLDADA,FORMAS E ESCORAMENTO CONFORME ITENS 11.004.0022E 11.004.0035,60KG DE ACO CA-50,INCLUSIVE MAO-DE-OBRA PARA CORTE,DOBRAGEM,MONTAGEM E COLOCACAO NAS FORMAS</t>
  </si>
  <si>
    <t>30885</t>
  </si>
  <si>
    <t>54.001.0100-B FORMAS MADEIRA P/MOLDAGEM, INCL. ESCOR.</t>
  </si>
  <si>
    <t>30731</t>
  </si>
  <si>
    <t>19.007.0013-E VIBRADOR IMERSAO ELETR. 2CV (CI)</t>
  </si>
  <si>
    <t>30730</t>
  </si>
  <si>
    <t>19.007.0013-C VIBRADOR IMERSAO ELETR. 2CV (CP)</t>
  </si>
  <si>
    <t>Composição : 11.013.0075-A</t>
  </si>
  <si>
    <t>SI000087511</t>
  </si>
  <si>
    <t>34557</t>
  </si>
  <si>
    <t>07266</t>
  </si>
  <si>
    <t>SI000087879</t>
  </si>
  <si>
    <t>SI000087313</t>
  </si>
  <si>
    <t>SI000087313 ARGAMASSA TRAÇO 1:3 (CIMENTO E AREIA GROSSA) PARA CHAPISCO CONVENCIONAL, PREPARO MECÂNICO COM BETONEIRA 400 L. AF_06/2014</t>
  </si>
  <si>
    <t>SI000087529</t>
  </si>
  <si>
    <t>SI000088485</t>
  </si>
  <si>
    <t>06085</t>
  </si>
  <si>
    <t>SI000088310</t>
  </si>
  <si>
    <t>IMPERMEABILIZAÇÃO DE SUPERFÍCIE COM IMPERMEABILIZANTE SEMI-FLEXIVEL (MAI), 3 DEMÃOS. AF_06/2018</t>
  </si>
  <si>
    <t>00135</t>
  </si>
  <si>
    <t>SI000088243</t>
  </si>
  <si>
    <t>Composição : SI000098555</t>
  </si>
  <si>
    <t>08.027.0040-A</t>
  </si>
  <si>
    <t>08.027.0041-A</t>
  </si>
  <si>
    <t>MEIO-FIO RETO DE CONCRETO SIMPLES FCK=15MPA,MOLDADO NO LOCAL,TIPO DER-RJ,MEDINDO 0,15M NA BASE E COM ALTURA DE 0,30M,REJ UNTAMENTO COM ARGAMASSA DE CIMENTO E AREIA,NO TRACO 1:3,5,COM FORNECIMENTO DE TODOS OS MATERIAIS,ESCAVACAO E REATERRO</t>
  </si>
  <si>
    <t>20042</t>
  </si>
  <si>
    <t>MAO-DE-OBRA DE CALCETEIRO, INCLUSIVE ENCARGOS SOCIAS DESONERADOS</t>
  </si>
  <si>
    <t>30282</t>
  </si>
  <si>
    <t>11.004.0021-B FORMAS MADEIRA PARAM. PLANOS, 2 VEZES</t>
  </si>
  <si>
    <t>30164</t>
  </si>
  <si>
    <t>07.002.0030-B ARGAMASSA CIM.,AREIA TRACO 1:4,PREPAROMECANICO</t>
  </si>
  <si>
    <t>09.006.0030-A</t>
  </si>
  <si>
    <t>ATERRO COM TERRA PRETA VEGETAL,PARA EXECUCAO DE GRAMADOS</t>
  </si>
  <si>
    <t>SI000088441</t>
  </si>
  <si>
    <t>09.003.0008-A</t>
  </si>
  <si>
    <t>09.002.0001-A</t>
  </si>
  <si>
    <t>Composição : 09.003.0008-A + 09.002.0001-A</t>
  </si>
  <si>
    <t>PLANTIO DE ARVORE ISOLADA ATE 2,00M DE ALTURA,DE QUALQUER ESPECIE,EM LOGRADOURO PUBLICO,INCLUSIVE TRANSPORTE,TERRA PRETA SIMPLES E ESTACA DE MADEIRA(TUTOR),EXCLUSIVE O FORNECIMENTODA ARVORE</t>
  </si>
  <si>
    <t>31012</t>
  </si>
  <si>
    <t>59.003.0050-B ESTACA MANGUE</t>
  </si>
  <si>
    <t>30416</t>
  </si>
  <si>
    <t>19.004.0004-E CAMINHAO CARROC. FIXA 7,5T (CI)</t>
  </si>
  <si>
    <t>30414</t>
  </si>
  <si>
    <t>19.004.0004-C CAMINHAO CARROC. FIXA, 7,5T (CP)</t>
  </si>
  <si>
    <r>
      <t xml:space="preserve">ARBUSTO PARA JARDINS,TIPO LANTANA.                     </t>
    </r>
    <r>
      <rPr>
        <strike/>
        <sz val="11"/>
        <color theme="1"/>
        <rFont val="Times New Roman"/>
        <family val="1"/>
      </rPr>
      <t xml:space="preserve"> ,HIBISCO,CEDRINHO,ETC,COM 50 A 70CM DE ALTURA.</t>
    </r>
    <r>
      <rPr>
        <sz val="11"/>
        <color theme="1"/>
        <rFont val="Times New Roman"/>
        <family val="1"/>
      </rPr>
      <t xml:space="preserve">          FORNECIMENTO</t>
    </r>
  </si>
  <si>
    <r>
      <t xml:space="preserve">ARBUSTO - LANTANA                             </t>
    </r>
    <r>
      <rPr>
        <strike/>
        <sz val="11"/>
        <color theme="1"/>
        <rFont val="Times New Roman"/>
        <family val="1"/>
      </rPr>
      <t xml:space="preserve">     CALIANDRA, CEDRINHO OU HIBISCO,</t>
    </r>
    <r>
      <rPr>
        <sz val="11"/>
        <color theme="1"/>
        <rFont val="Times New Roman"/>
        <family val="1"/>
      </rPr>
      <t xml:space="preserve"> COM ALTURA DE 50CM A 70CM</t>
    </r>
  </si>
  <si>
    <t>00359</t>
  </si>
  <si>
    <t>Composição : SI000098511</t>
  </si>
  <si>
    <t>SI000072897</t>
  </si>
  <si>
    <t>SI000005961</t>
  </si>
  <si>
    <t>SI000005961 CAMINHÃO BASCULANTE 6 M3, PESO BRUTO TOTAL 16.000 KG, CARGA ÚTIL MÁXIMA 13.071 KG, DISTÂNCIA ENTRE EIXOS 4,80 M, POTÊNCIA 230 CV INCLUSIVE CAÇAMBA METÁLICA - CHI DIURNO. AF_06/2014</t>
  </si>
  <si>
    <t>01.001.0078-A</t>
  </si>
  <si>
    <t>PERFURACAO MANUAL DE SOLO, A TRADO ACIMA DE 10" (OBS.:3% - DESGASTE DE FERRAMENTAS E EPI).</t>
  </si>
  <si>
    <t>AREIA MEDIA - POSTO JAZIDA/FORNECEDOR (RETIRADO NA JAZIDA, SEM TRANSPORTE)</t>
  </si>
  <si>
    <t>PO DE PEDRA (POSTO PEDREIRA/FORNECEDOR, SEM FRETE)</t>
  </si>
  <si>
    <t>CALCETEIRO COM ENCARGOS COMPLEMENTARES</t>
  </si>
  <si>
    <t>04741</t>
  </si>
  <si>
    <t>00370</t>
  </si>
  <si>
    <t>SI000088260</t>
  </si>
  <si>
    <t>SI000091285</t>
  </si>
  <si>
    <t>SI000091285 CORTADORA DE PISO COM MOTOR 4 TEMPOS A GASOLINA, POTÊNCIA DE 13 HP, COM DISCO DE CORTE DIAMANTADO SEGMENTADO PARA CONCRETO, DIÂMETRO DE 350 MM, FURO DE 1" (14 X 1") - CHI DIURNO. AF_08/2015</t>
  </si>
  <si>
    <t>SI000091283</t>
  </si>
  <si>
    <t>SI000091283 CORTADORA DE PISO COM MOTOR 4 TEMPOS A GASOLINA, POTÊNCIA DE 13 HP, COM DISCO DE CORTE DIAMANTADO SEGMENTADO PARA CONCRETO, DIÂMETRO DE 350 MM, FURO DE 1" (14 X 1") - CHP DIURNO. AF_08/2015</t>
  </si>
  <si>
    <t>SI000091278</t>
  </si>
  <si>
    <t>SI000091278 PLACA VIBRATÓRIA REVERSÍVEL COM MOTOR 4 TEMPOS A GASOLINA, FORÇA CENTRÍFUGA DE 25 KN (2500 KGF), POTÊNCIA 5,5 CV - CHI DIURNO. AF_08/2015</t>
  </si>
  <si>
    <t>SI000091277</t>
  </si>
  <si>
    <t>SI000091277 PLACA VIBRATÓRIA REVERSÍVEL COM MOTOR 4 TEMPOS A GASOLINA, FORÇA CENTRÍFUGA DE 25 KN (2500 KGF), POTÊNCIA 5,5 CV - CHP DIURNO. AF_08/2015</t>
  </si>
  <si>
    <t>ESCAVACAO MECANICA, A CEU ABERTO, EM MATERIAL DE 1A CATEGORIA, COM ESCAVADEIRA HIDRAULICA, CAPACIDADE DE 0,78 M3</t>
  </si>
  <si>
    <t>SI000083338</t>
  </si>
  <si>
    <t>SI000090991</t>
  </si>
  <si>
    <t>SI000090991 ESCAVADEIRA HIDRÁULICA SOBRE ESTEIRAS, CAÇAMBA 0,80 M3, PESO OPERACIONAL 17,8 T, POTÊNCIA LÍQUIDA 110 HP - CHP DIURNO. AF_10/2014</t>
  </si>
  <si>
    <t>SI000084013</t>
  </si>
  <si>
    <t>SI000084013 ESCAVADEIRA HIDRÁULICA SOBRE ESTEIRAS, CAÇAMBA 0,80 M3, PESO OPERACIONAL 17,8 T, POTÊNCIA LÍQUIDA 110 HP - CHI DIURNO. AF_10/2014</t>
  </si>
  <si>
    <t>30440</t>
  </si>
  <si>
    <t>19.004.0020-E CAMINHAO TANQUE 6000L (CI)</t>
  </si>
  <si>
    <t>30438</t>
  </si>
  <si>
    <t>19.004.0020-C CAMINHAO TANQUE 6000L (CP)</t>
  </si>
  <si>
    <t>07416</t>
  </si>
  <si>
    <t>TINTA EPOXYCA, BICOMPONENTE ISENTA DE SOLVENTES</t>
  </si>
  <si>
    <t>00324</t>
  </si>
  <si>
    <t>LIXA P/MADEIRA N§100</t>
  </si>
  <si>
    <t>17.013.0030-A</t>
  </si>
  <si>
    <t>PINTURA INTERNA OU EXTERNA SOBRE CONCRETO LISO OU REVESTIMENTO,COM TINTA AQUOSA A BASE DE EPOXI INCOLOR OU EM CORES,INCL USIVE LIMPEZA,E DUAS DEMAOS DE ACABAMENTO</t>
  </si>
  <si>
    <t>BANCO NA JARDINEIRA E PISO : PINTURA INTERNA OU EXTERNA SOBRE CONCRETO LISO OU REVESTIMENTO,COM TINTA AQUOSA A BASE DE EPOXI INCOLOR OU EM CORES,INCL USIVE LIMPEZA,E DUAS DEMAOS DE ACABAMENTO (OBS.:3%-DESGASTE DE FERRAMENTAS E EPI).</t>
  </si>
  <si>
    <t>00519</t>
  </si>
  <si>
    <t>SAIBRO</t>
  </si>
  <si>
    <t>14536</t>
  </si>
  <si>
    <t>BRITA 0, PARA REGIAO DE BARRA MANSA, EXCLUSIVE TRANSPORTE</t>
  </si>
  <si>
    <t>Composição : 08.018.0023-A</t>
  </si>
  <si>
    <t>CESTO DE TELA PARA RETIRADA DE LIXO,CONFECCIONADO EM ACO E SOMBRIT,MODELO COMLURB.FORNECIMENTO (OBS.:3%-DESGASTE DE FERRAMENTAS E EPI).</t>
  </si>
  <si>
    <t>10959</t>
  </si>
  <si>
    <t>TELA NYLON, C/PROTECAO 80%, SOMBRIT OUSIMILAR</t>
  </si>
  <si>
    <t>10957</t>
  </si>
  <si>
    <t>BRACADEIRA DE NYLON, JUNTA-CABO, MEDINDO200X4,5MM, MODELO BN, FISCHER OU SIMILAR</t>
  </si>
  <si>
    <t>10956</t>
  </si>
  <si>
    <t>BARRA REDONDA DE ACO, DE 1.1/4"</t>
  </si>
  <si>
    <t>07882</t>
  </si>
  <si>
    <t>MANGUEIRA CRISTAL EM PVC, NO DIAMETRO DE1/2"</t>
  </si>
  <si>
    <t>EXECUÇÃO DE PASSEIO EM PISO INTERTRAVADO, COM BLOCO RETANGULAR COR NATURAL DE 20 X 10 CM, ESPESSURA 6 CM. AF_12/2015</t>
  </si>
  <si>
    <t>BLOQUETE/PISO INTERTRAVADO DE CONCRETO - MODELO RETANGULAR/TIJOLINHO/PAVER/HOLANDES/PARALELEPIPEDO, 20 CM X 10 CM, E = 6 CM, RESISTENCIA DE 35 MPA (NBR 9781), COR NATURAL</t>
  </si>
  <si>
    <r>
      <t xml:space="preserve">REVESTIMENTO DE PISO COM PEDRISCO. FORNECIMENTO E COLOCAÇÃO.       </t>
    </r>
    <r>
      <rPr>
        <strike/>
        <sz val="11"/>
        <rFont val="Times New Roman"/>
        <family val="1"/>
      </rPr>
      <t xml:space="preserve"> REVESTIMENTO DE SAIBRO,EXECUTADO MANUALMENTE,COMPRIMIDO EM CAMADA,INCLUSIVE O FORNECIMENTO DO SAIBRO,SENDO A CAMADA MEDI DA APOS A COMPRESSAO</t>
    </r>
  </si>
  <si>
    <t>13.333.0015-A</t>
  </si>
  <si>
    <t>SI000092396</t>
  </si>
  <si>
    <t>20087</t>
  </si>
  <si>
    <t>MAO-DE-OBRA DE LADRILHEIRO, INCLUSIVE ENCARGOS SOCIAIS DESONERADOS</t>
  </si>
  <si>
    <t>30153</t>
  </si>
  <si>
    <t>07.001.0130-B ARGAMASSA CIM.,SAIBRO,AREIA 1:3:3,PREPARO MANUAL</t>
  </si>
  <si>
    <t>30129</t>
  </si>
  <si>
    <t>07.001.0010-B PASTA DE CIMENTO COMUM</t>
  </si>
  <si>
    <t>36155</t>
  </si>
  <si>
    <t>09.007.0003-A</t>
  </si>
  <si>
    <t>ARRANCAMENTO E REPLANTIO DE ARVORE ADULTA,ACIMA DE 5,00M DE ALTURA E MAIS DE 20CM DE DIAMETRO,INCLUSIVE ESCAVACAO E REGA DURANTE 15 DIAS,EXCLUSIVE TRANSPORTE</t>
  </si>
  <si>
    <t>ARRANCAMENTO E REPLANTIO DE ARVORE ADULTA,ACIMA DE 5,00M DE ALTURA E MAIS DE 20CM DE DIAMETRO,INCLUSIVE ESCAVACAO E REGA DURANTE 15 DIAS,EXCLUSIVE TRANSPORTE (OBS.:3%-DESGASTE DE FERRAMENTAS E EPI).</t>
  </si>
  <si>
    <t>Composição : 09.007.0001-A</t>
  </si>
  <si>
    <t>ARRANCAMENTO E REPLANTIO DE ARBUSTO                   ARVORE ADULTA, COM ATE 3,00M DE ALTURA E ATE 15CM DE DIAMETRO, INCLUSIVE ESCAVACAO E REGA DU RANTE 15 DIAS,EXCLUSIVE TRANSPORTE (OBS.:3%-DESGASTE DE FERRAMENTAS E EPI).</t>
  </si>
  <si>
    <r>
      <t xml:space="preserve">ARRANCAMENTO  DE OUTDOOR                             </t>
    </r>
    <r>
      <rPr>
        <strike/>
        <sz val="11"/>
        <rFont val="Times New Roman"/>
        <family val="1"/>
      </rPr>
      <t>PLACA DE IDENTIFICACAO DE OBRA PUBLICA,INCLUSIVE PINTURA E SUPORTES DE MADEIRA.FORNECIMENTO E COLOCACAO</t>
    </r>
  </si>
  <si>
    <t>00013</t>
  </si>
  <si>
    <t>ACO CA-60, ESTIRADO, PRECO DE REVENDEDOR, NO DIAMETRO DE 04,2MM</t>
  </si>
  <si>
    <t>00014</t>
  </si>
  <si>
    <t>ACO CA-60, ESTIRADO, PRECO DE REVENDEDOR, NO DIAMETRO DE 05,0MM</t>
  </si>
  <si>
    <t>00173</t>
  </si>
  <si>
    <t>TUBO DE ACO GALVANIZADO, COM COSTURA, PESADO, NBR 5580, DN=2"</t>
  </si>
  <si>
    <t>00124</t>
  </si>
  <si>
    <t>ESMALTE SINTETICO ALQUIDICO ALTO BRILHO,BRILHANTE, ACETINADO OU FOSCO</t>
  </si>
  <si>
    <t>20131</t>
  </si>
  <si>
    <t>MAO-DE-OBRA DE SERRALHEIRO DA CONSTRUCAOCIVIL, INCLUSIVE ENCARGOS SOCIAIS DESONERADOS</t>
  </si>
  <si>
    <t>30281</t>
  </si>
  <si>
    <t>11.004.0020-B FORMAS MADEIRA PARAM. PLANOS, 2 VEZES</t>
  </si>
  <si>
    <t>30256</t>
  </si>
  <si>
    <t>11.002.0015-B PREPARO CONCR. BETON. 320L; 1,00M3/H</t>
  </si>
  <si>
    <t>30272</t>
  </si>
  <si>
    <t>11.002.0037-B LANCAMENTO CONC.S/ARM.1,0M3/H,HORIZ/VERT</t>
  </si>
  <si>
    <t>Comsposição : 14.002.0208-A</t>
  </si>
  <si>
    <t>GUARDA-CORPO EM TUBO DE ACO GALVANIZADO 2" (CHUMBADOS EM MEIO-FIO, INCLUSIVE SOLDA, MÃO-DE-OBRA E EQUIPAMENTO. COMPRIMENTO 17,10M, ALTURA 1,15M.)                  GUARDA-CORPO DE FERRO GALVANIZADO,COM MODULO DE 2,20M DE COMPRIMENTO,COM DOIS TUBOS DE 2" NA HORIZONTAL,PILARETES DE CON CRETO COM SECAO 20X20CM E 1,00M DE ALTURA,INCLUSIVE TODOS OSMATERIAIS E PINTURA.FORNECIMENTO E COLOCACAO (OBS.:3%-DESGASTE DE FERRAMENTAS E EPI 10%-PERDAS E DEMAIS MATERIAIS NECESSARIOS).</t>
  </si>
  <si>
    <t xml:space="preserve">GUARDA-CORPO EM TUBO DE ACO GALVANIZADO 2" (CHUMBADOS EM MEIO-FIO, INCLUSIVE SOLDA, MÃO-DE-OBRA E EQUIPAMENTO. COMPRIMENTO 17,10M, ALTURA 1,15M.) </t>
  </si>
  <si>
    <t>PISO DE CONCRETO ARMADO</t>
  </si>
  <si>
    <t>14</t>
  </si>
  <si>
    <t>09.026.0045-A</t>
  </si>
  <si>
    <t>CESTO DE TELA PARA RETIRADA DE LIXO,CONFECCIONADO EM ACO E SOMBRIT,MODELO COMLURB.FORNECIMENTO</t>
  </si>
  <si>
    <t>00029</t>
  </si>
  <si>
    <t>ACO CA-25, ESTIRADO, PRECO DE REVENDEDOR, NO DIAMETRO DE 06,3MM</t>
  </si>
  <si>
    <t>00408</t>
  </si>
  <si>
    <t>GRANA DE MARMORE BRANCO NACIONAL, N§1, P/MARMORITE</t>
  </si>
  <si>
    <t>11230</t>
  </si>
  <si>
    <t>DISCO DE DESBATE, COM DIAMETRO DE 7"</t>
  </si>
  <si>
    <t>00316</t>
  </si>
  <si>
    <t>JUNTA PLASTICA, P/PISO, ALTURA DE 17MM,E C/ESPES. DE 3MM</t>
  </si>
  <si>
    <t>11144</t>
  </si>
  <si>
    <t>GRANA DE GRANITO N§ 1 PRETO</t>
  </si>
  <si>
    <t>11229</t>
  </si>
  <si>
    <t>CORANTE PRETO</t>
  </si>
  <si>
    <t>00724</t>
  </si>
  <si>
    <t>TARIFA DE ENERGIA ELETRICA, TIPO COMERCIAL</t>
  </si>
  <si>
    <t>KWH</t>
  </si>
  <si>
    <t>09.014.0015-A</t>
  </si>
  <si>
    <t>30296</t>
  </si>
  <si>
    <t>11.005.0001-B FORMAS CHAPAS RESINADA E PLASTIF. 3VEZES</t>
  </si>
  <si>
    <t>20091</t>
  </si>
  <si>
    <t>MAO-DE-OBRA DE MARMORISTA DE MARMORE E GRANITO, INCLUSIVE ENCARGOS SOCIAIS DESONERADOS</t>
  </si>
  <si>
    <t>20092</t>
  </si>
  <si>
    <t>MAO-DE-OBRA DE MARMORISTA DE MARMORITE,INCLUSIVE ENCARGOS SOCIAIS DESONERADOS</t>
  </si>
  <si>
    <t>30488</t>
  </si>
  <si>
    <t>19.004.0046-E CAMIONETA TIPO PICK-UP,COM CABINE SIMPLES E CACAMBA,TIPO LEVE,MOTOR BICOMBUSTIVEL DE 1,6 LITROS,INCLUSIVE MOTORISTA (CI)</t>
  </si>
  <si>
    <t>30263</t>
  </si>
  <si>
    <t>11.002.0027-B LANCAMENTO CONC.S/ARM.7,0M3/H,HORIZ/VERT</t>
  </si>
  <si>
    <t>30313</t>
  </si>
  <si>
    <t>11.013.0070-B CONCRETO ARMADO FCK 15MPA</t>
  </si>
  <si>
    <t>30486</t>
  </si>
  <si>
    <t>19.004.0046-C CAMIONETA TIPO PICK-UP,COM CABINE SIMPLES E CACAMBA,TIPO LEVE,MOTOR BICOMBUSTIVEL DE 1,6 LITROS,INCLUSIVE MOTORISTA (CP)</t>
  </si>
  <si>
    <t>Composição : 09.012.0001-A</t>
  </si>
  <si>
    <t>LIXAMENTO MAN C/ LIXA CALAFATE DE CONCR APARENTE ANTIGO</t>
  </si>
  <si>
    <t>LIXA EM FOLHA PARA PAREDE OU MADEIRA, NUMERO 120 (COR VERMELHA)</t>
  </si>
  <si>
    <t>SI000084123</t>
  </si>
  <si>
    <t>03767</t>
  </si>
  <si>
    <t>P.UNIT. (c/BDI)</t>
  </si>
  <si>
    <t>Encargos Sociais  - SINAPI :  90,79%  (HORA)    -   51,52%  (MÊS)</t>
  </si>
  <si>
    <t>2.1</t>
  </si>
  <si>
    <t>2.2</t>
  </si>
  <si>
    <t>2.3</t>
  </si>
  <si>
    <t>2.4</t>
  </si>
  <si>
    <t>2.5</t>
  </si>
  <si>
    <t>2.6</t>
  </si>
  <si>
    <t>2.7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</si>
  <si>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</si>
  <si>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</si>
  <si>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</si>
  <si>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</si>
  <si>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</si>
  <si>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</si>
  <si>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</si>
  <si>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</si>
  <si>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</si>
  <si>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</si>
  <si>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</si>
  <si>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</si>
  <si>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</si>
  <si>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</si>
  <si>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</si>
  <si>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</si>
  <si>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</si>
  <si>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</si>
  <si>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</si>
  <si>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</si>
  <si>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</si>
  <si>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</si>
  <si>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</si>
  <si>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</si>
  <si>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</si>
  <si>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</si>
  <si>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</si>
  <si>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</si>
  <si>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5.1.1</t>
  </si>
  <si>
    <t>5.1.2</t>
  </si>
  <si>
    <t>5.2.1</t>
  </si>
  <si>
    <t>6.1</t>
  </si>
  <si>
    <t>6.1.1</t>
  </si>
  <si>
    <t>6.1.2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</si>
  <si>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</si>
  <si>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</si>
  <si>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</si>
  <si>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</si>
  <si>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</si>
  <si>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</si>
  <si>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</si>
  <si>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</si>
  <si>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</si>
  <si>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</si>
  <si>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7.10.1</t>
  </si>
  <si>
    <t>7.10.2</t>
  </si>
  <si>
    <t>7.10.3</t>
  </si>
  <si>
    <t>7.10.3.1</t>
  </si>
  <si>
    <t>7.11</t>
  </si>
  <si>
    <t>7.12</t>
  </si>
  <si>
    <t>7.13</t>
  </si>
  <si>
    <t>7.14</t>
  </si>
  <si>
    <t>7.15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</si>
  <si>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</si>
  <si>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</si>
  <si>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</si>
  <si>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</si>
  <si>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</si>
  <si>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</si>
  <si>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</si>
  <si>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</si>
  <si>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</si>
  <si>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</si>
  <si>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</si>
  <si>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</si>
  <si>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</si>
  <si>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</si>
  <si>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</si>
  <si>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12.1</t>
  </si>
  <si>
    <t>12.2</t>
  </si>
  <si>
    <t>13.1</t>
  </si>
  <si>
    <t>13.2</t>
  </si>
  <si>
    <t>14.1</t>
  </si>
  <si>
    <t>14.2</t>
  </si>
  <si>
    <t>14.3</t>
  </si>
  <si>
    <r>
      <t>BDI  COM  DESONERAÇÃO  -  (</t>
    </r>
    <r>
      <rPr>
        <b/>
        <i/>
        <sz val="14"/>
        <rFont val="Times New Roman"/>
        <family val="1"/>
      </rPr>
      <t>Demais Itens</t>
    </r>
    <r>
      <rPr>
        <b/>
        <sz val="11"/>
        <rFont val="Times New Roman"/>
        <family val="1"/>
      </rPr>
      <t>)</t>
    </r>
  </si>
  <si>
    <r>
      <t>BDI  COM  DESONERAÇÃO  -  (</t>
    </r>
    <r>
      <rPr>
        <b/>
        <i/>
        <sz val="14"/>
        <rFont val="Times New Roman"/>
        <family val="1"/>
      </rPr>
      <t>Item 5</t>
    </r>
    <r>
      <rPr>
        <b/>
        <sz val="11"/>
        <rFont val="Times New Roman"/>
        <family val="1"/>
      </rPr>
      <t>)</t>
    </r>
  </si>
  <si>
    <t>ARRANCAMENTO E REPLANTIO DE ARBUSTO, INCLUSIVE ESCAVACAO E REGA DU RANTE 15 DIAS,EXCLUSIVE TRANSPORTE (OBS.:3%-DESGASTE DE FERRAMENTAS E EPI).</t>
  </si>
  <si>
    <t xml:space="preserve">ARRANCAMENTO DE OUTDOOR </t>
  </si>
  <si>
    <t xml:space="preserve">ARRANCAMENTO E REASSENTAMENTO DE COBERTURA PARA PONTO DE ÔNIBUS  </t>
  </si>
  <si>
    <t xml:space="preserve">ARRANCAMENTO DE CORRIMÃO METÁLICO   (2,00x1,10m=2,20m2)   </t>
  </si>
  <si>
    <r>
      <t xml:space="preserve">ARRANCAMENTO DE CORRIMÃO METÁLICO   (2,00x1,10m=2,20m2)      </t>
    </r>
    <r>
      <rPr>
        <strike/>
        <sz val="11"/>
        <rFont val="Times New Roman"/>
        <family val="1"/>
      </rPr>
      <t>GRADES,GRADIS,ALAMBRADOS,CERCAS E PORTOES (OBS.:3%-DESGASTE DE FERRAMENTAS E EPI).ARRANCAMENTO DE GRADES,GRADIS,ALAMBRADOS,CERCAS E PORTOES</t>
    </r>
  </si>
  <si>
    <t>Composição : 05.001.0147-A</t>
  </si>
  <si>
    <t xml:space="preserve">MESA DE JOGOS COM 4 BANCOS      (as Fundações estão no Item  9)   </t>
  </si>
  <si>
    <t>MESA DE JOGOS COM 4 BANCOS      (as Fundações estão no Item 9)           ,TAMPO DE MESA EM MARMORITE ARMADO,NA COR NATURAL,TENDO NO CENTRO TABULEIRO DE XADREZ EM MARMO RITE NAS CORES BRANCA E PRETA,PES(MESA E BANCOS)DE CONCRETOARMADO.FORNECIMENTO E COLOCACAO (OBS.:3%-DESGASTE DE FERRAMENTAS E EPI).MESA DE JOGOS COM 4 BANCOS,TAMPO DE MESA EM MARMORITE ARMADO,NA COR NATURAL,TENDO NO CENTRO TABULEIRO DE XADREZ EM MARMO RITE NAS CORES BRANCA E PRETA,PES(MESA E BANCOS)DE CONCRETOARMADO.FORNECIMENTO E COLOCACAO</t>
  </si>
  <si>
    <t>INSTALAÇÃO DE BANCO DE CONCRETO APARENTE     (as Fundações estão no Item  9)</t>
  </si>
  <si>
    <r>
      <t xml:space="preserve">INSTALAÇÃO DE BANCO DE CONCRETO APARENTE     (as Fundações estão no Item  9)    </t>
    </r>
    <r>
      <rPr>
        <strike/>
        <sz val="11"/>
        <rFont val="Times New Roman"/>
        <family val="1"/>
      </rPr>
      <t>BANCO DE CONCRETO APARENTE,COM 1,50M DE COMPRIMENTO,45CM DE LARGURA E 10CM DE ESPESSURA, SOBRE DOIS APOIOS DO MESMO MATE RIAL,COM SECAO DE 10X30CM</t>
    </r>
  </si>
  <si>
    <t>CAIXA RETANGULAR 4" X 4"  INSTALADA EM PISO, DE ALUMÍNIO.  FORNECIMENTO E INSTALAÇÃO. AF_12/2015</t>
  </si>
  <si>
    <r>
      <t>CAIXA OCTOGONAL 4" X 4", PVC,  DE EMBUTIR  EM PAREDE.</t>
    </r>
    <r>
      <rPr>
        <sz val="11"/>
        <color theme="1"/>
        <rFont val="Times New Roman"/>
        <family val="1"/>
      </rPr>
      <t xml:space="preserve"> FORNECIMENTO E INSTALAÇÃO. AF_12/2015</t>
    </r>
  </si>
  <si>
    <r>
      <t xml:space="preserve">LUMINARIA TIPO SPOT   BALIZADOR DE EMBUTIR NA PAREDE COM 12W EM LED, COM VIDRO BLINDADO. </t>
    </r>
    <r>
      <rPr>
        <sz val="11"/>
        <color theme="1"/>
        <rFont val="Times New Roman"/>
        <family val="1"/>
      </rPr>
      <t xml:space="preserve"> FORNECIMENTO E COLOCACAO (OBS.:3%-DESGASTE DE FERRAMENTAS E EPI).</t>
    </r>
  </si>
  <si>
    <t xml:space="preserve">BARRA DE ACO CA-50,COM SALIENCIA OU MOSSA,COEFICIENTE DE CONFORMACAO SUPERFICIAL MINIMO (ADERENCIA) IGUAL A 1,5,DIAMETRO DE 6,3MM,DESTINADA A ARMADURA DE CONCRETO ARMADO,10% DE PERDAS DE PONTAS E ARAME 18. FORNECIMENTO E COLOCAÇÃO. </t>
  </si>
  <si>
    <t>BARRA DE ACO CA-50,COM SALIENCIA OU MOSSA,COEFICIENTE DE CONFORMACAO SUPERFICIAL MINIMO (ADERENCIA) IGUAL A 1,5,DIAMETRO DE 8 A 12,5MM,DESTINADA A ARMADURA DE CONCRETO ARMADO,10%DE PERDAS DE PONTAS E ARAME 18 .FORNECIMENTO E COLOCAÇÃO.</t>
  </si>
  <si>
    <t>FIO DE ACO CA-60,REDONDO,COM SALIENCIA OU MOSSA,COEFICIENTE DE CONFORMACAO SUPERFICIAL MINIMO(ADERENCIA)IGUAL A 1,5,DIAM ETRO ENTRE 4,2 A 5MM,DESTINADO A ARMADURA DE PECAS DE CONCRETO ARMADO,COMPREENDENDO 10% DE PERDAS DE PONTAS E ARAME 18. FORNECIMENTO E COLOCAÇÃO.</t>
  </si>
  <si>
    <r>
      <t xml:space="preserve">REFLETOR  DE LED, PARA ILUMINAÇÃO PÚBLICA DE 200W.  </t>
    </r>
    <r>
      <rPr>
        <sz val="11"/>
        <color theme="1"/>
        <rFont val="Times New Roman"/>
        <family val="1"/>
      </rPr>
      <t xml:space="preserve"> FORNECIMENTO E INSTALAÇÃO. AF_11/2017</t>
    </r>
  </si>
  <si>
    <t>ESCAVACAO MANUAL DE VALA/CAVA EM MATERIAL DE 1ª CATEGORIA (A(AREIA,ARGILA OU PICARRA),ATE 1,50M DE PROFUNDIDADE,EXCLUSIVE ESCORAMENTO E ESGOTAMENTO (OBS.:3% - DESGASTE DE FERRAMENTAS E EPI).</t>
  </si>
  <si>
    <t>ESCAVACAO MANUAL DE VALA/CAVA EM MATERIAL DE 1ª CATEGORIA (AREIA,ARGILA OU PICARRA) ,ATE 1,50M DE PROFUNDIDADE, EXCLUSIV E ESCORAMENTO E ESGOTAMENTO (OBS.:3% - DESGASTE DE FERRAMENTAS E EPI).</t>
  </si>
  <si>
    <t>CONCRETO ARMADO, FCK=25MPA, INCLUINDO MATERIAIS PARA 1,00M3 DE CONCRETO (IMPORTADO DE USINA) ADENSADO E COLOCADO, 3,00 M2  DE AREA MOLDADA, FORMAS E ESCORAMENTO CONFORME ITENS 11.004.0022E 11.004.0035, 60KG DE ACO CA-50,INCLUSIVE MAO-DE-OBRA PARA CORTE, DOBRAGEM, MONTAGEM E COLOCACAO NAS FORMAS (OBS.:3%-DESGASTE DE FERRAMENTAS E EPI).</t>
  </si>
  <si>
    <r>
      <t>IMPERMEABILIZAÇÃO DE SUPERFÍCIE  DE C0NCRETO COM IMPERMEABILIZANTE FOSCO TRANSPARENTE</t>
    </r>
    <r>
      <rPr>
        <sz val="11"/>
        <color theme="1"/>
        <rFont val="Times New Roman"/>
        <family val="1"/>
      </rPr>
      <t>, 3 DEMÃOS. AF_06/2018</t>
    </r>
  </si>
  <si>
    <t>REVESTIMENTO DE PISO COM PEDRISCO. FORNECIMENTO E COLOCAÇÃO.</t>
  </si>
  <si>
    <t xml:space="preserve">ARMACAO EM TELA DE ACO SOLDADA NERVURADA  Q-92,  Ø 4,20 mm, de 15x15cm, 1,48 kg/m2    </t>
  </si>
  <si>
    <t>LIXAMENTO MAN C/ LIXA CALAFATE DE CONCRETO  APARENTE ANTIGO</t>
  </si>
  <si>
    <t>Composição :  05.001.0147-A</t>
  </si>
  <si>
    <t>Composição : 11.009.0011-A + 11.011.0027-A</t>
  </si>
  <si>
    <t>Composição : 11.009.0013-A + 11.011.0029-A</t>
  </si>
  <si>
    <t>Composição : 11.009.0014-B + 11.011.0030-B</t>
  </si>
  <si>
    <t>Composição : 09.014.0015-A</t>
  </si>
  <si>
    <t>Composição : 21.003.0053-A + Outras</t>
  </si>
  <si>
    <t>Composição : 21.003.0052-A + Outras</t>
  </si>
  <si>
    <t>11.003.0005-A</t>
  </si>
  <si>
    <t>SI000073631</t>
  </si>
  <si>
    <t>09.007.0003 -A</t>
  </si>
  <si>
    <t>Local : Esquina da Av. Presidente Kennedy com a Rua José Fagundes Pinto - Lote 02 - Bairro Getúlio Vargas - Barra Mansa-RJ</t>
  </si>
  <si>
    <t>7.8 e 9</t>
  </si>
  <si>
    <t>Engº João Vitor da Silva Ramos (CREA 2018106463)</t>
  </si>
  <si>
    <t>Arqª  Germana, Engº João Vitor e Engª Catiele</t>
  </si>
  <si>
    <t>002/2019</t>
  </si>
  <si>
    <t>CONTRATO DE REPASSE Nº 843673 - SINCOV / PROPOSTA Nº 025160 - 2017 -  MINISTÉRIO DO ESPORTE</t>
  </si>
  <si>
    <r>
      <t xml:space="preserve">LUMINARIA FECHADA PARA ILUMINACAO PUBLICA :   GLOBO REDONDO GRANDE PARA POSTE LUMINÁRIA   Ø  50cm  E  LÂMPADA DE 100W LED. FORNECIMENTO E INSTALACAO                  </t>
    </r>
    <r>
      <rPr>
        <strike/>
        <sz val="11"/>
        <color theme="1"/>
        <rFont val="Times New Roman"/>
        <family val="1"/>
      </rPr>
      <t xml:space="preserve">      </t>
    </r>
  </si>
  <si>
    <r>
      <t xml:space="preserve">Fonte Oficial dos Preços :  SINAPI /EMOP -  RJ  -  </t>
    </r>
    <r>
      <rPr>
        <b/>
        <i/>
        <u/>
        <sz val="11"/>
        <color theme="1"/>
        <rFont val="Times New Roman"/>
        <family val="1"/>
      </rPr>
      <t>COM Desoneração  - Jun/2018</t>
    </r>
  </si>
  <si>
    <r>
      <t xml:space="preserve">Fonte Oficial dos Preços :  SINAPI /EMOP -  RJ  - </t>
    </r>
    <r>
      <rPr>
        <b/>
        <i/>
        <u/>
        <sz val="11"/>
        <color theme="1"/>
        <rFont val="Times New Roman"/>
        <family val="1"/>
      </rPr>
      <t>COM Desoneração  - Jun/2018</t>
    </r>
  </si>
  <si>
    <t>SI000093661</t>
  </si>
  <si>
    <t>DISJUNTOR BIPOLAR TIPO DIN, CORRENTE NOMINAL DE 16A - FORNECIMENTO E INSTALAÇÃO. AF_04/2016</t>
  </si>
  <si>
    <t>SI000093673</t>
  </si>
  <si>
    <t>DISJUNTOR TRIPOLAR TIPO DIN, CORRENTE NOMINAL DE 50A - FORNECIMENTO E INSTALAÇÃO. AF_04/2016</t>
  </si>
  <si>
    <t>01575</t>
  </si>
  <si>
    <t>TERMINAL A COMPRESSAO EM COBRE ESTANHADO PARA CABO 16 MM2, 1 FURO E 1 COMPRESSAO, PARA PARAFUSO DE FIXACAO M6</t>
  </si>
  <si>
    <t xml:space="preserve">ELETRODUTO FLEXÍVEL CORRUGADO, PVC, DN 32 MM (1"), PARA CIRCUITOS TERMINAIS. FORNECIMENTO E INSTALAÇÃO. AF_12/2015  : </t>
  </si>
  <si>
    <t>05265</t>
  </si>
  <si>
    <t>ARMACAO SECUNDARIA, COMPLETA, PARA 3 LINHAS</t>
  </si>
  <si>
    <t>00116</t>
  </si>
  <si>
    <t>BOX DE ALUMINIO CURVO, DE 3/4	UN	1.0000000	5,0300	5,0300</t>
  </si>
  <si>
    <t>00289</t>
  </si>
  <si>
    <t>CABO SOLIDO DE COBRE ELETROLITICO NU, TEMPERA MOLE, CLASSE 2, SECAO CIRCULAR DE10,0 A 500,0MM2</t>
  </si>
  <si>
    <t>02341</t>
  </si>
  <si>
    <t>ELETRODUTO DE PVC PRETO, RIGIDO ROSQUEAVEL, COM ROSCA EM AMBAS EXTREMIDADES, EMBARRAS DE 3 METROS, DE 3/4</t>
  </si>
  <si>
    <t>02643</t>
  </si>
  <si>
    <t>LUVA DE PVC RIGIDO ROSQUEAVEL, PARA ELETRODUTO, DE 3/4</t>
  </si>
  <si>
    <t>02961</t>
  </si>
  <si>
    <t>CURVA 90§ DE PVC RIGIDO, ROSQUEAVEL, PARA ELETRODUTO, DE 3/4</t>
  </si>
  <si>
    <t>03968</t>
  </si>
  <si>
    <t>CINTA GALVANIZADA, COM PARAFUSOS, DE 4	UN	1.0000000	21,0300	21,0300</t>
  </si>
  <si>
    <t>00115</t>
  </si>
  <si>
    <t>BUCHA E ARRUELA DE ALUMINIO PARA ELETRODUTO, DE 3/4</t>
  </si>
  <si>
    <t>04210</t>
  </si>
  <si>
    <t>ISOLADOR TIPO CARRETILHA, MARROM, DE (72X72)MM</t>
  </si>
  <si>
    <t>08019</t>
  </si>
  <si>
    <t>CONECTOR PARAFUSO FENDIDO, TIPO SPLIT BOLT, FABRICADO EM COBRE, PARA CABO DE 010MM2</t>
  </si>
  <si>
    <t>11922</t>
  </si>
  <si>
    <t>CAIXA TRANSPARENTE PARA MEDICAO DIRETA(CTM), PARA ENTRADA DE ENERGIA INDIVIDUAL, PADRAO LIGHT</t>
  </si>
  <si>
    <t>11923</t>
  </si>
  <si>
    <t>CAIXA DISJUSTOR MONOPOLAR (CDJ1) INTERNA, PARA ENTRADA DE ENERGIA INDIVIDUAL PADRAO LIGHT</t>
  </si>
  <si>
    <t>03977</t>
  </si>
  <si>
    <t>HASTE TERRA, TIPO CANTONEIRA GALVANIZADA, DE 2,00M</t>
  </si>
  <si>
    <t>30344</t>
  </si>
  <si>
    <t>12.003.0075-B ALVENARIA TIJ. FURADO 10X20X20CM</t>
  </si>
  <si>
    <t>Composição : 15.011.0021-A</t>
  </si>
  <si>
    <t>02346</t>
  </si>
  <si>
    <t>ELETRODUTO DE PVC PRETO,RIGIDO ROSQUEAVEL EM AMBAS EXTREMIDADES,EM BARRAS DE 3 METROS,DE 2</t>
  </si>
  <si>
    <r>
      <t xml:space="preserve">ENTRADA DE ENERGIA INDIVIDUAL, PADRAO LIGHT, MEDICAO DIRETA, REDE AEREA, DEMANDA ATE 8KVA, INCLUSIVE CAIXA POLIMÉRICA POLIFÁSICA  CM3  E CAIXA POLIMÉRICA PARA DISJUNTOR TRIPOLAR  CDJ3       </t>
    </r>
    <r>
      <rPr>
        <strike/>
        <sz val="11"/>
        <rFont val="Times New Roman"/>
        <family val="1"/>
      </rPr>
      <t xml:space="preserve">INCLUSIVE CAIXA TRANSPARENTE PARA MEDICAO(CTM), E CAIXA DE DISJUNTOR MONOPOLAR (CDJ1) INTERNA </t>
    </r>
    <r>
      <rPr>
        <sz val="11"/>
        <rFont val="Times New Roman"/>
        <family val="1"/>
      </rPr>
      <t xml:space="preserve">            E DEMAIS MATERIAIS NECESSARIOS, EXCLUSIVE POSTE, DISJUNTOR E FIOS DE ENTRADA E SAIDA (OBS.:3%-DESGASTE DE FERRAMENTAS E EPI).</t>
    </r>
  </si>
  <si>
    <t>CAIXA POLIMÉRICA POLIFÁSICA  CM3</t>
  </si>
  <si>
    <t>11925</t>
  </si>
  <si>
    <t>CAIXA DE DISJUNTORES TRIFASICO (CDJ3) INTERNA, PARA ENTRADA DE ENERGIA INDIVIDUAL, PADRAO LIGHT</t>
  </si>
  <si>
    <t>7.16</t>
  </si>
  <si>
    <t>00456</t>
  </si>
  <si>
    <t>POSTE DE CONCRETO, C/SECAO CIRCULAR, C/07,00M DE COMPR., PADRAO ABNT, EXCLUSIVETRANSP., C/CARGA NOM.HORIZ.TOPO 100KGF</t>
  </si>
  <si>
    <t>30523</t>
  </si>
  <si>
    <t>19.004.0080-C GUINDAUTO 3,5T, ALCANCE 5,90M (CP)</t>
  </si>
  <si>
    <t>30415</t>
  </si>
  <si>
    <t>19.004.0004-D CAMINHAO CARROC. FIXA, 7,5T (CF)</t>
  </si>
  <si>
    <t>30269</t>
  </si>
  <si>
    <t>11.002.0034-B LANCAMENTO CONC.S/ARM.3,5M3/H, HORIZ.</t>
  </si>
  <si>
    <r>
      <t xml:space="preserve">POSTE DE CONCRETO,COM SECAO CIRCULAR, COM 7,00M DE COMPRIMENTO E CARGA NOMINAL HORIZONTAL NO TOPO DE 100KG, INCLUSIVE ESCAVACAO E  </t>
    </r>
    <r>
      <rPr>
        <strike/>
        <sz val="11"/>
        <rFont val="Times New Roman"/>
        <family val="1"/>
      </rPr>
      <t xml:space="preserve">EXCLUSIVE </t>
    </r>
    <r>
      <rPr>
        <sz val="11"/>
        <rFont val="Times New Roman"/>
        <family val="1"/>
      </rPr>
      <t>TRANSPORTE. FORNECIMENTO E COLOCACAO (OBS.:3%-DESGASTE DE FERRAMENTAS E EPI).</t>
    </r>
  </si>
  <si>
    <t>Composição : 18.045.0015-A</t>
  </si>
  <si>
    <r>
      <t>ENTRADA DE ENERGIA INDIVIDUAL, PADRAO LIGHT, MEDICAO DIRETA, REDE AEREA, DEMANDA ATE 8KVA, INCLUSIVE CAIXA POLIMÉRICA POLIFÁSICA  CM3  E CAIXA POLIMÉRICA PARA DISJUNTOR TRIPOLAR  CDJ3</t>
    </r>
    <r>
      <rPr>
        <sz val="11"/>
        <rFont val="Times New Roman"/>
        <family val="1"/>
      </rPr>
      <t xml:space="preserve">   E DEMAIS MATERIAIS NECESSARIOS, EXCLUSIVE POSTE, DISJUNTOR E FIOS DE ENTRADA E SAIDA (OBS.:3%-DESGASTE DE FERRAMENTAS E EPI).</t>
    </r>
  </si>
  <si>
    <r>
      <t xml:space="preserve">POSTE DE CONCRETO,COM SECAO CIRCULAR, COM 7,00M DE COMPRIMENTO E CARGA NOMINAL HORIZONTAL NO TOPO DE 100KG, INCLUSIVE ESCAVACAO E  </t>
    </r>
    <r>
      <rPr>
        <sz val="11"/>
        <rFont val="Times New Roman"/>
        <family val="1"/>
      </rPr>
      <t>TRANSPORTE. FORNECIMENTO E COLOCACAO (OBS.:3%-DESGASTE DE FERRAMENTAS E EPI).</t>
    </r>
  </si>
  <si>
    <t>7.17</t>
  </si>
  <si>
    <t>7.17.1</t>
  </si>
  <si>
    <t>7.17.2</t>
  </si>
  <si>
    <t>7.17.3</t>
  </si>
  <si>
    <t>7.17.4</t>
  </si>
  <si>
    <t>7.17.5</t>
  </si>
  <si>
    <t>7.17.6</t>
  </si>
  <si>
    <t>7.17.7</t>
  </si>
  <si>
    <t>Mesa para a prática de tênis de mesa em chapas de aço carbono ASTM A-36 de 3/8” de espessura, soldadas com tratamento de galvanização por imerssão a quente e pintura, construida em uma única peça pré-fabricada. Tamanho: 1,525 m x 2,74m x 0,76 m. Peso aprox.: 525Kg. FORNECIMENTO, TRIBUTOS,  FRETE E INSTALAÇÃO.</t>
  </si>
  <si>
    <t>8.6</t>
  </si>
  <si>
    <t>13.333.0010-A</t>
  </si>
  <si>
    <t>REVESTIMENTO DE PISO COM CERAMICA TATIL DIRECIONAL,(LADRILHO HIDRAULICO),PARA PESSOAS COM NECESSIDADES ESPECIFICAS,ASSEN TES SOBRE SUPERFICIE EM OSSO,CONFORME ITEM 13.330.0010 (OBS.:3%-DESGASTE DE FERRAMENTAS E EPI).</t>
  </si>
  <si>
    <t>11227</t>
  </si>
  <si>
    <t>PISO CERAMICO TATIL DIRECIONAL, AMARELO,PARA PORTADORES DE NECESSIDADES ESPECIFICAS</t>
  </si>
  <si>
    <t>04</t>
  </si>
  <si>
    <t>11/Jun/2019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</si>
</sst>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strike/>
      <sz val="11"/>
      <name val="Times New Roman"/>
      <family val="1"/>
    </font>
    <font>
      <strike/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u/>
      <sz val="11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indexed="64"/>
      </right>
      <top style="mediumDashed">
        <color auto="1"/>
      </top>
      <bottom style="mediumDashed">
        <color auto="1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8" fillId="0" borderId="0" applyFont="0" applyFill="0" applyBorder="0" applyAlignment="0" applyProtection="0"/>
  </cellStyleXfs>
  <cellXfs count="269">
    <xf numFmtId="0" fontId="0" fillId="0" borderId="0" xfId="0"/>
    <xf numFmtId="164" fontId="4" fillId="0" borderId="0" xfId="0" applyNumberFormat="1" applyFont="1" applyFill="1"/>
    <xf numFmtId="0" fontId="4" fillId="0" borderId="0" xfId="0" applyFont="1" applyFill="1"/>
    <xf numFmtId="4" fontId="3" fillId="0" borderId="0" xfId="4" applyNumberFormat="1" applyFont="1" applyFill="1"/>
    <xf numFmtId="49" fontId="5" fillId="0" borderId="6" xfId="5" applyNumberFormat="1" applyFont="1" applyFill="1" applyBorder="1" applyAlignment="1">
      <alignment horizontal="center" vertical="center"/>
    </xf>
    <xf numFmtId="4" fontId="5" fillId="0" borderId="6" xfId="5" applyNumberFormat="1" applyFont="1" applyFill="1" applyBorder="1" applyAlignment="1">
      <alignment horizontal="center" vertical="center"/>
    </xf>
    <xf numFmtId="4" fontId="3" fillId="0" borderId="6" xfId="5" applyNumberFormat="1" applyFont="1" applyFill="1" applyBorder="1" applyAlignment="1">
      <alignment horizontal="center" vertical="center"/>
    </xf>
    <xf numFmtId="4" fontId="8" fillId="0" borderId="6" xfId="5" applyNumberFormat="1" applyFont="1" applyFill="1" applyBorder="1" applyAlignment="1"/>
    <xf numFmtId="164" fontId="4" fillId="0" borderId="0" xfId="0" applyNumberFormat="1" applyFont="1" applyFill="1" applyBorder="1"/>
    <xf numFmtId="0" fontId="8" fillId="0" borderId="0" xfId="0" applyFont="1" applyFill="1"/>
    <xf numFmtId="4" fontId="5" fillId="0" borderId="2" xfId="0" applyNumberFormat="1" applyFont="1" applyFill="1" applyBorder="1"/>
    <xf numFmtId="4" fontId="5" fillId="0" borderId="0" xfId="0" applyNumberFormat="1" applyFont="1" applyFill="1" applyBorder="1"/>
    <xf numFmtId="164" fontId="8" fillId="0" borderId="0" xfId="0" applyNumberFormat="1" applyFont="1" applyFill="1" applyBorder="1"/>
    <xf numFmtId="4" fontId="4" fillId="0" borderId="6" xfId="0" applyNumberFormat="1" applyFont="1" applyFill="1" applyBorder="1"/>
    <xf numFmtId="4" fontId="4" fillId="0" borderId="6" xfId="0" applyNumberFormat="1" applyFont="1" applyFill="1" applyBorder="1" applyAlignment="1"/>
    <xf numFmtId="4" fontId="8" fillId="0" borderId="1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 wrapText="1"/>
    </xf>
    <xf numFmtId="4" fontId="8" fillId="0" borderId="6" xfId="5" applyNumberFormat="1" applyFont="1" applyFill="1" applyBorder="1" applyAlignment="1">
      <alignment horizontal="right"/>
    </xf>
    <xf numFmtId="4" fontId="5" fillId="0" borderId="0" xfId="4" applyNumberFormat="1" applyFont="1" applyFill="1"/>
    <xf numFmtId="0" fontId="4" fillId="0" borderId="0" xfId="0" applyFont="1" applyFill="1" applyBorder="1"/>
    <xf numFmtId="0" fontId="8" fillId="0" borderId="6" xfId="4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5" fillId="0" borderId="6" xfId="5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wrapText="1"/>
    </xf>
    <xf numFmtId="49" fontId="7" fillId="0" borderId="6" xfId="5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Border="1" applyAlignment="1">
      <alignment horizontal="center" vertical="center" wrapText="1"/>
    </xf>
    <xf numFmtId="4" fontId="3" fillId="0" borderId="0" xfId="5" applyNumberFormat="1" applyFont="1" applyFill="1" applyBorder="1" applyAlignment="1">
      <alignment horizontal="center" vertical="center"/>
    </xf>
    <xf numFmtId="4" fontId="3" fillId="0" borderId="0" xfId="5" applyNumberFormat="1" applyFont="1" applyFill="1" applyBorder="1" applyAlignment="1">
      <alignment horizontal="left" vertical="center"/>
    </xf>
    <xf numFmtId="4" fontId="3" fillId="0" borderId="6" xfId="5" applyNumberFormat="1" applyFont="1" applyFill="1" applyBorder="1" applyAlignment="1">
      <alignment vertical="top" wrapText="1"/>
    </xf>
    <xf numFmtId="0" fontId="8" fillId="0" borderId="6" xfId="0" applyFont="1" applyFill="1" applyBorder="1"/>
    <xf numFmtId="0" fontId="4" fillId="0" borderId="6" xfId="0" applyFont="1" applyFill="1" applyBorder="1"/>
    <xf numFmtId="4" fontId="4" fillId="0" borderId="0" xfId="0" applyNumberFormat="1" applyFont="1" applyFill="1" applyAlignment="1"/>
    <xf numFmtId="4" fontId="3" fillId="0" borderId="0" xfId="4" applyNumberFormat="1" applyFont="1" applyFill="1" applyBorder="1" applyAlignment="1"/>
    <xf numFmtId="4" fontId="4" fillId="0" borderId="0" xfId="0" applyNumberFormat="1" applyFont="1" applyFill="1" applyBorder="1" applyAlignment="1"/>
    <xf numFmtId="4" fontId="3" fillId="0" borderId="0" xfId="2" applyNumberFormat="1" applyFont="1" applyFill="1" applyBorder="1" applyAlignment="1"/>
    <xf numFmtId="4" fontId="4" fillId="0" borderId="6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4" fillId="0" borderId="5" xfId="0" applyNumberFormat="1" applyFont="1" applyFill="1" applyBorder="1" applyAlignment="1">
      <alignment wrapText="1"/>
    </xf>
    <xf numFmtId="4" fontId="5" fillId="0" borderId="6" xfId="5" applyNumberFormat="1" applyFont="1" applyFill="1" applyBorder="1" applyAlignment="1">
      <alignment wrapText="1"/>
    </xf>
    <xf numFmtId="4" fontId="3" fillId="0" borderId="6" xfId="5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wrapText="1"/>
    </xf>
    <xf numFmtId="164" fontId="5" fillId="0" borderId="6" xfId="5" applyNumberFormat="1" applyFont="1" applyFill="1" applyBorder="1" applyAlignment="1">
      <alignment wrapText="1"/>
    </xf>
    <xf numFmtId="164" fontId="4" fillId="0" borderId="6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4" fillId="0" borderId="14" xfId="0" applyNumberFormat="1" applyFont="1" applyFill="1" applyBorder="1" applyAlignment="1"/>
    <xf numFmtId="164" fontId="3" fillId="0" borderId="6" xfId="2" applyNumberFormat="1" applyFont="1" applyFill="1" applyBorder="1" applyAlignment="1">
      <alignment horizontal="left" vertical="center" wrapText="1"/>
    </xf>
    <xf numFmtId="164" fontId="5" fillId="0" borderId="6" xfId="2" applyNumberFormat="1" applyFont="1" applyFill="1" applyBorder="1"/>
    <xf numFmtId="164" fontId="3" fillId="0" borderId="0" xfId="5" applyNumberFormat="1" applyFont="1" applyFill="1" applyBorder="1" applyAlignment="1">
      <alignment horizontal="center" vertical="center"/>
    </xf>
    <xf numFmtId="4" fontId="3" fillId="0" borderId="6" xfId="5" applyNumberFormat="1" applyFont="1" applyFill="1" applyBorder="1" applyAlignment="1">
      <alignment wrapText="1"/>
    </xf>
    <xf numFmtId="4" fontId="3" fillId="0" borderId="0" xfId="4" applyNumberFormat="1" applyFont="1" applyFill="1" applyBorder="1"/>
    <xf numFmtId="49" fontId="5" fillId="0" borderId="0" xfId="5" applyNumberFormat="1" applyFont="1" applyFill="1" applyBorder="1" applyAlignment="1">
      <alignment horizontal="center" vertical="center" wrapText="1"/>
    </xf>
    <xf numFmtId="4" fontId="5" fillId="0" borderId="0" xfId="5" applyNumberFormat="1" applyFont="1" applyFill="1" applyBorder="1" applyAlignment="1">
      <alignment wrapText="1"/>
    </xf>
    <xf numFmtId="164" fontId="5" fillId="0" borderId="0" xfId="5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4" fontId="5" fillId="0" borderId="6" xfId="5" applyNumberFormat="1" applyFont="1" applyFill="1" applyBorder="1" applyAlignment="1">
      <alignment horizontal="right" vertical="center" wrapText="1"/>
    </xf>
    <xf numFmtId="4" fontId="4" fillId="0" borderId="6" xfId="2" applyNumberFormat="1" applyFont="1" applyFill="1" applyBorder="1" applyAlignment="1">
      <alignment wrapText="1"/>
    </xf>
    <xf numFmtId="4" fontId="8" fillId="0" borderId="6" xfId="0" applyNumberFormat="1" applyFont="1" applyFill="1" applyBorder="1" applyAlignment="1">
      <alignment wrapText="1"/>
    </xf>
    <xf numFmtId="0" fontId="4" fillId="0" borderId="6" xfId="0" applyFont="1" applyFill="1" applyBorder="1" applyAlignment="1"/>
    <xf numFmtId="4" fontId="8" fillId="0" borderId="6" xfId="0" applyNumberFormat="1" applyFont="1" applyFill="1" applyBorder="1" applyAlignment="1"/>
    <xf numFmtId="4" fontId="3" fillId="0" borderId="6" xfId="5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center"/>
    </xf>
    <xf numFmtId="0" fontId="8" fillId="0" borderId="6" xfId="5" applyFont="1" applyFill="1" applyBorder="1" applyAlignment="1">
      <alignment horizontal="right" vertical="top"/>
    </xf>
    <xf numFmtId="4" fontId="8" fillId="0" borderId="6" xfId="5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/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4" fontId="5" fillId="0" borderId="6" xfId="5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/>
    </xf>
    <xf numFmtId="4" fontId="3" fillId="0" borderId="6" xfId="2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" fontId="3" fillId="0" borderId="6" xfId="5" applyNumberFormat="1" applyFont="1" applyFill="1" applyBorder="1" applyAlignment="1">
      <alignment horizontal="left" vertical="center" wrapText="1"/>
    </xf>
    <xf numFmtId="4" fontId="5" fillId="0" borderId="6" xfId="5" applyNumberFormat="1" applyFont="1" applyFill="1" applyBorder="1" applyAlignment="1"/>
    <xf numFmtId="0" fontId="3" fillId="0" borderId="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right" vertical="center" wrapText="1"/>
    </xf>
    <xf numFmtId="164" fontId="3" fillId="0" borderId="6" xfId="2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left" vertical="center" wrapText="1"/>
    </xf>
    <xf numFmtId="164" fontId="5" fillId="0" borderId="6" xfId="5" applyNumberFormat="1" applyFont="1" applyFill="1" applyBorder="1" applyAlignment="1">
      <alignment horizontal="center" vertical="center"/>
    </xf>
    <xf numFmtId="4" fontId="3" fillId="0" borderId="0" xfId="5" applyNumberFormat="1" applyFont="1" applyFill="1" applyBorder="1" applyAlignment="1">
      <alignment horizontal="center"/>
    </xf>
    <xf numFmtId="0" fontId="10" fillId="0" borderId="0" xfId="0" applyFont="1" applyFill="1"/>
    <xf numFmtId="164" fontId="10" fillId="0" borderId="0" xfId="0" applyNumberFormat="1" applyFont="1" applyFill="1"/>
    <xf numFmtId="0" fontId="6" fillId="0" borderId="6" xfId="0" applyFont="1" applyFill="1" applyBorder="1" applyAlignment="1">
      <alignment horizontal="center" vertical="center" wrapText="1"/>
    </xf>
    <xf numFmtId="4" fontId="13" fillId="0" borderId="0" xfId="4" applyNumberFormat="1" applyFont="1" applyFill="1"/>
    <xf numFmtId="49" fontId="14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/>
    <xf numFmtId="164" fontId="7" fillId="0" borderId="6" xfId="4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6" xfId="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49" fontId="7" fillId="0" borderId="6" xfId="5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6" xfId="5" applyNumberFormat="1" applyFont="1" applyFill="1" applyBorder="1" applyAlignment="1">
      <alignment horizontal="right" wrapText="1"/>
    </xf>
    <xf numFmtId="164" fontId="7" fillId="0" borderId="6" xfId="2" applyNumberFormat="1" applyFont="1" applyFill="1" applyBorder="1" applyAlignment="1">
      <alignment horizontal="center" vertical="center"/>
    </xf>
    <xf numFmtId="49" fontId="9" fillId="0" borderId="6" xfId="5" applyNumberFormat="1" applyFont="1" applyFill="1" applyBorder="1" applyAlignment="1">
      <alignment horizontal="center" vertical="center"/>
    </xf>
    <xf numFmtId="4" fontId="3" fillId="0" borderId="0" xfId="5" applyNumberFormat="1" applyFont="1" applyFill="1" applyBorder="1" applyAlignment="1">
      <alignment horizontal="left" vertical="center" wrapText="1"/>
    </xf>
    <xf numFmtId="49" fontId="5" fillId="0" borderId="6" xfId="2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/>
    <xf numFmtId="4" fontId="3" fillId="0" borderId="10" xfId="2" applyNumberFormat="1" applyFont="1" applyFill="1" applyBorder="1" applyAlignment="1"/>
    <xf numFmtId="164" fontId="3" fillId="0" borderId="6" xfId="2" applyNumberFormat="1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4" fontId="3" fillId="0" borderId="9" xfId="2" applyNumberFormat="1" applyFont="1" applyFill="1" applyBorder="1" applyAlignment="1">
      <alignment horizontal="left" vertical="center" wrapText="1"/>
    </xf>
    <xf numFmtId="4" fontId="3" fillId="0" borderId="6" xfId="2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left" vertical="center" wrapText="1"/>
    </xf>
    <xf numFmtId="49" fontId="5" fillId="0" borderId="3" xfId="2" applyNumberFormat="1" applyFont="1" applyFill="1" applyBorder="1" applyAlignment="1">
      <alignment horizontal="left" vertical="center" wrapText="1" readingOrder="1"/>
    </xf>
    <xf numFmtId="4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4" fontId="5" fillId="0" borderId="0" xfId="5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/>
    <xf numFmtId="164" fontId="4" fillId="0" borderId="0" xfId="2" applyNumberFormat="1" applyFont="1" applyFill="1" applyBorder="1" applyAlignment="1">
      <alignment horizontal="center" vertical="center" wrapText="1"/>
    </xf>
    <xf numFmtId="4" fontId="3" fillId="0" borderId="16" xfId="5" applyNumberFormat="1" applyFont="1" applyFill="1" applyBorder="1" applyAlignment="1">
      <alignment horizontal="left" vertical="center"/>
    </xf>
    <xf numFmtId="4" fontId="3" fillId="0" borderId="16" xfId="5" applyNumberFormat="1" applyFont="1" applyFill="1" applyBorder="1" applyAlignment="1">
      <alignment horizontal="center" vertical="center"/>
    </xf>
    <xf numFmtId="164" fontId="3" fillId="0" borderId="16" xfId="5" applyNumberFormat="1" applyFont="1" applyFill="1" applyBorder="1" applyAlignment="1">
      <alignment horizontal="center" vertical="center"/>
    </xf>
    <xf numFmtId="164" fontId="3" fillId="0" borderId="17" xfId="5" applyNumberFormat="1" applyFont="1" applyFill="1" applyBorder="1" applyAlignment="1">
      <alignment horizontal="center" vertical="center"/>
    </xf>
    <xf numFmtId="164" fontId="3" fillId="0" borderId="19" xfId="5" applyNumberFormat="1" applyFont="1" applyFill="1" applyBorder="1" applyAlignment="1">
      <alignment horizontal="center" vertical="center"/>
    </xf>
    <xf numFmtId="4" fontId="3" fillId="0" borderId="21" xfId="5" applyNumberFormat="1" applyFont="1" applyFill="1" applyBorder="1" applyAlignment="1">
      <alignment horizontal="left" vertical="center"/>
    </xf>
    <xf numFmtId="4" fontId="3" fillId="0" borderId="21" xfId="5" applyNumberFormat="1" applyFont="1" applyFill="1" applyBorder="1" applyAlignment="1">
      <alignment horizontal="center" vertical="center"/>
    </xf>
    <xf numFmtId="164" fontId="3" fillId="0" borderId="21" xfId="5" applyNumberFormat="1" applyFont="1" applyFill="1" applyBorder="1" applyAlignment="1">
      <alignment horizontal="center" vertical="center"/>
    </xf>
    <xf numFmtId="164" fontId="3" fillId="0" borderId="22" xfId="5" applyNumberFormat="1" applyFont="1" applyFill="1" applyBorder="1" applyAlignment="1">
      <alignment horizontal="center" vertical="center"/>
    </xf>
    <xf numFmtId="164" fontId="3" fillId="0" borderId="16" xfId="5" applyNumberFormat="1" applyFont="1" applyFill="1" applyBorder="1" applyAlignment="1">
      <alignment horizontal="left" vertical="center"/>
    </xf>
    <xf numFmtId="164" fontId="3" fillId="0" borderId="17" xfId="5" applyNumberFormat="1" applyFont="1" applyFill="1" applyBorder="1" applyAlignment="1">
      <alignment horizontal="left" vertical="center"/>
    </xf>
    <xf numFmtId="164" fontId="3" fillId="0" borderId="0" xfId="5" applyNumberFormat="1" applyFont="1" applyFill="1" applyBorder="1" applyAlignment="1">
      <alignment horizontal="left" vertical="center"/>
    </xf>
    <xf numFmtId="164" fontId="3" fillId="0" borderId="19" xfId="5" applyNumberFormat="1" applyFont="1" applyFill="1" applyBorder="1" applyAlignment="1">
      <alignment horizontal="left" vertical="center"/>
    </xf>
    <xf numFmtId="164" fontId="3" fillId="0" borderId="21" xfId="5" applyNumberFormat="1" applyFont="1" applyFill="1" applyBorder="1" applyAlignment="1">
      <alignment horizontal="left" vertical="center"/>
    </xf>
    <xf numFmtId="164" fontId="3" fillId="0" borderId="22" xfId="5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 applyFill="1" applyAlignment="1">
      <alignment wrapText="1"/>
    </xf>
    <xf numFmtId="4" fontId="5" fillId="0" borderId="0" xfId="5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164" fontId="5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 vertical="center" wrapText="1"/>
    </xf>
    <xf numFmtId="164" fontId="3" fillId="0" borderId="16" xfId="2" applyNumberFormat="1" applyFont="1" applyFill="1" applyBorder="1" applyAlignment="1">
      <alignment horizontal="left" vertical="center" wrapText="1"/>
    </xf>
    <xf numFmtId="164" fontId="3" fillId="0" borderId="16" xfId="2" applyNumberFormat="1" applyFont="1" applyFill="1" applyBorder="1"/>
    <xf numFmtId="164" fontId="4" fillId="0" borderId="16" xfId="2" applyNumberFormat="1" applyFont="1" applyFill="1" applyBorder="1" applyAlignment="1">
      <alignment horizontal="center" vertical="center" wrapText="1"/>
    </xf>
    <xf numFmtId="164" fontId="4" fillId="0" borderId="16" xfId="2" applyNumberFormat="1" applyFont="1" applyFill="1" applyBorder="1" applyAlignment="1">
      <alignment horizontal="right" wrapText="1"/>
    </xf>
    <xf numFmtId="164" fontId="4" fillId="0" borderId="17" xfId="2" applyNumberFormat="1" applyFont="1" applyFill="1" applyBorder="1" applyAlignment="1">
      <alignment horizontal="right" wrapText="1"/>
    </xf>
    <xf numFmtId="164" fontId="4" fillId="0" borderId="19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left" vertical="center"/>
    </xf>
    <xf numFmtId="164" fontId="11" fillId="0" borderId="0" xfId="2" applyNumberFormat="1" applyFont="1" applyFill="1" applyBorder="1"/>
    <xf numFmtId="164" fontId="10" fillId="0" borderId="0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right" wrapText="1"/>
    </xf>
    <xf numFmtId="164" fontId="10" fillId="0" borderId="19" xfId="2" applyNumberFormat="1" applyFont="1" applyFill="1" applyBorder="1" applyAlignment="1">
      <alignment horizontal="right" wrapText="1"/>
    </xf>
    <xf numFmtId="164" fontId="4" fillId="0" borderId="16" xfId="2" applyNumberFormat="1" applyFont="1" applyFill="1" applyBorder="1" applyAlignment="1">
      <alignment wrapText="1"/>
    </xf>
    <xf numFmtId="164" fontId="3" fillId="0" borderId="21" xfId="2" applyNumberFormat="1" applyFont="1" applyFill="1" applyBorder="1"/>
    <xf numFmtId="164" fontId="4" fillId="0" borderId="21" xfId="2" applyNumberFormat="1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horizontal="right" wrapText="1"/>
    </xf>
    <xf numFmtId="164" fontId="4" fillId="0" borderId="22" xfId="2" applyNumberFormat="1" applyFont="1" applyFill="1" applyBorder="1" applyAlignment="1">
      <alignment horizontal="right" wrapText="1"/>
    </xf>
    <xf numFmtId="164" fontId="3" fillId="0" borderId="23" xfId="2" applyNumberFormat="1" applyFont="1" applyFill="1" applyBorder="1"/>
    <xf numFmtId="164" fontId="4" fillId="0" borderId="23" xfId="2" applyNumberFormat="1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horizontal="right" wrapText="1"/>
    </xf>
    <xf numFmtId="164" fontId="3" fillId="0" borderId="23" xfId="2" applyNumberFormat="1" applyFont="1" applyFill="1" applyBorder="1" applyAlignment="1">
      <alignment horizontal="left" vertical="center" wrapText="1"/>
    </xf>
    <xf numFmtId="164" fontId="4" fillId="0" borderId="23" xfId="2" applyNumberFormat="1" applyFont="1" applyFill="1" applyBorder="1" applyAlignment="1">
      <alignment horizontal="center" wrapText="1"/>
    </xf>
    <xf numFmtId="164" fontId="4" fillId="0" borderId="25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wrapText="1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5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wrapText="1"/>
    </xf>
    <xf numFmtId="4" fontId="3" fillId="0" borderId="6" xfId="5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6" xfId="0" applyNumberFormat="1" applyFont="1" applyFill="1" applyBorder="1"/>
    <xf numFmtId="3" fontId="8" fillId="0" borderId="0" xfId="0" applyNumberFormat="1" applyFont="1" applyFill="1" applyAlignment="1">
      <alignment horizontal="center" vertical="center"/>
    </xf>
    <xf numFmtId="164" fontId="3" fillId="0" borderId="6" xfId="5" applyNumberFormat="1" applyFont="1" applyFill="1" applyBorder="1" applyAlignment="1">
      <alignment horizontal="right" wrapText="1"/>
    </xf>
    <xf numFmtId="164" fontId="3" fillId="0" borderId="6" xfId="5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vertical="center"/>
    </xf>
    <xf numFmtId="43" fontId="4" fillId="0" borderId="0" xfId="7" applyFont="1" applyFill="1"/>
    <xf numFmtId="43" fontId="7" fillId="0" borderId="6" xfId="7" applyFont="1" applyFill="1" applyBorder="1" applyAlignment="1">
      <alignment horizontal="center" vertical="center"/>
    </xf>
    <xf numFmtId="43" fontId="4" fillId="0" borderId="6" xfId="7" applyFont="1" applyFill="1" applyBorder="1" applyAlignment="1">
      <alignment horizontal="left" vertical="center" wrapText="1"/>
    </xf>
    <xf numFmtId="43" fontId="4" fillId="0" borderId="6" xfId="7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Alignment="1">
      <alignment horizontal="left" vertical="center" wrapText="1"/>
    </xf>
    <xf numFmtId="164" fontId="3" fillId="0" borderId="9" xfId="2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" fontId="4" fillId="0" borderId="2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 vertical="center" wrapText="1"/>
    </xf>
    <xf numFmtId="49" fontId="3" fillId="0" borderId="6" xfId="5" applyNumberFormat="1" applyFont="1" applyFill="1" applyBorder="1" applyAlignment="1">
      <alignment horizontal="center" vertical="center" wrapText="1"/>
    </xf>
    <xf numFmtId="49" fontId="3" fillId="0" borderId="0" xfId="5" applyNumberFormat="1" applyFont="1" applyFill="1" applyBorder="1" applyAlignment="1">
      <alignment horizontal="center" vertical="center"/>
    </xf>
    <xf numFmtId="49" fontId="3" fillId="0" borderId="0" xfId="5" applyNumberFormat="1" applyFont="1" applyFill="1" applyBorder="1" applyAlignment="1">
      <alignment horizontal="center" vertical="center" wrapText="1"/>
    </xf>
    <xf numFmtId="4" fontId="5" fillId="0" borderId="0" xfId="5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3" fillId="0" borderId="15" xfId="5" applyNumberFormat="1" applyFont="1" applyFill="1" applyBorder="1" applyAlignment="1">
      <alignment horizontal="center" vertical="center" wrapText="1"/>
    </xf>
    <xf numFmtId="49" fontId="3" fillId="0" borderId="18" xfId="5" applyNumberFormat="1" applyFont="1" applyFill="1" applyBorder="1" applyAlignment="1">
      <alignment horizontal="center" vertical="center" wrapText="1"/>
    </xf>
    <xf numFmtId="49" fontId="3" fillId="0" borderId="20" xfId="5" applyNumberFormat="1" applyFont="1" applyFill="1" applyBorder="1" applyAlignment="1">
      <alignment horizontal="center" vertical="center" wrapText="1"/>
    </xf>
    <xf numFmtId="49" fontId="3" fillId="0" borderId="15" xfId="5" applyNumberFormat="1" applyFont="1" applyFill="1" applyBorder="1" applyAlignment="1">
      <alignment horizontal="center" vertical="center"/>
    </xf>
    <xf numFmtId="49" fontId="3" fillId="0" borderId="18" xfId="5" applyNumberFormat="1" applyFont="1" applyFill="1" applyBorder="1" applyAlignment="1">
      <alignment horizontal="center" vertical="center"/>
    </xf>
    <xf numFmtId="49" fontId="3" fillId="0" borderId="20" xfId="5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 vertical="center" wrapText="1"/>
    </xf>
    <xf numFmtId="164" fontId="11" fillId="0" borderId="18" xfId="2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/>
    </xf>
    <xf numFmtId="164" fontId="3" fillId="0" borderId="23" xfId="2" applyNumberFormat="1" applyFont="1" applyFill="1" applyBorder="1" applyAlignment="1">
      <alignment horizontal="center"/>
    </xf>
    <xf numFmtId="164" fontId="3" fillId="0" borderId="24" xfId="2" applyNumberFormat="1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>
      <alignment horizontal="center"/>
    </xf>
    <xf numFmtId="43" fontId="3" fillId="0" borderId="0" xfId="7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3" fillId="0" borderId="3" xfId="2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0" fontId="4" fillId="0" borderId="1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3" fillId="0" borderId="3" xfId="4" applyNumberFormat="1" applyFont="1" applyFill="1" applyBorder="1" applyAlignment="1">
      <alignment horizontal="left" vertical="center" wrapText="1" readingOrder="1"/>
    </xf>
    <xf numFmtId="49" fontId="5" fillId="0" borderId="1" xfId="4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3" xfId="2" applyNumberFormat="1" applyFont="1" applyFill="1" applyBorder="1" applyAlignment="1">
      <alignment horizontal="left" vertical="center" wrapText="1"/>
    </xf>
    <xf numFmtId="49" fontId="3" fillId="0" borderId="3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3" fillId="0" borderId="11" xfId="2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 readingOrder="1"/>
    </xf>
    <xf numFmtId="0" fontId="0" fillId="0" borderId="10" xfId="0" applyFill="1" applyBorder="1" applyAlignment="1">
      <alignment horizontal="left" vertical="center" wrapText="1"/>
    </xf>
    <xf numFmtId="49" fontId="5" fillId="0" borderId="11" xfId="4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wrapText="1"/>
    </xf>
    <xf numFmtId="4" fontId="15" fillId="0" borderId="8" xfId="0" applyNumberFormat="1" applyFont="1" applyFill="1" applyBorder="1" applyAlignment="1">
      <alignment horizontal="center" wrapText="1"/>
    </xf>
    <xf numFmtId="4" fontId="15" fillId="0" borderId="9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4" fontId="3" fillId="0" borderId="4" xfId="4" applyNumberFormat="1" applyFont="1" applyFill="1" applyBorder="1" applyAlignment="1">
      <alignment horizontal="left" vertical="center" wrapText="1" readingOrder="1"/>
    </xf>
    <xf numFmtId="0" fontId="0" fillId="0" borderId="5" xfId="0" applyFill="1" applyBorder="1" applyAlignment="1">
      <alignment horizontal="left" vertical="center" wrapText="1" readingOrder="1"/>
    </xf>
    <xf numFmtId="0" fontId="0" fillId="0" borderId="14" xfId="0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14" fillId="0" borderId="12" xfId="5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4" fillId="0" borderId="13" xfId="5" applyNumberFormat="1" applyFont="1" applyFill="1" applyBorder="1" applyAlignment="1">
      <alignment horizontal="center" vertical="center" wrapText="1"/>
    </xf>
    <xf numFmtId="164" fontId="14" fillId="0" borderId="12" xfId="5" applyNumberFormat="1" applyFont="1" applyFill="1" applyBorder="1" applyAlignment="1">
      <alignment horizontal="center" vertical="center" wrapText="1"/>
    </xf>
    <xf numFmtId="164" fontId="14" fillId="0" borderId="13" xfId="5" applyNumberFormat="1" applyFont="1" applyFill="1" applyBorder="1" applyAlignment="1">
      <alignment horizontal="center" vertical="center" wrapText="1"/>
    </xf>
    <xf numFmtId="49" fontId="14" fillId="0" borderId="12" xfId="5" applyNumberFormat="1" applyFont="1" applyFill="1" applyBorder="1" applyAlignment="1">
      <alignment horizontal="center" vertical="center" wrapText="1"/>
    </xf>
    <xf numFmtId="49" fontId="14" fillId="0" borderId="13" xfId="5" applyNumberFormat="1" applyFont="1" applyFill="1" applyBorder="1" applyAlignment="1">
      <alignment horizontal="center" vertical="center" wrapText="1"/>
    </xf>
    <xf numFmtId="49" fontId="9" fillId="0" borderId="12" xfId="5" applyNumberFormat="1" applyFont="1" applyFill="1" applyBorder="1" applyAlignment="1">
      <alignment horizontal="center" vertical="center" wrapText="1"/>
    </xf>
    <xf numFmtId="49" fontId="9" fillId="0" borderId="13" xfId="5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3" xfId="2"/>
    <cellStyle name="Normal 3" xfId="6"/>
    <cellStyle name="Normal_P_Getulio Vargas" xfId="3"/>
    <cellStyle name="Normal_P_Getulio Vargas 2" xfId="4"/>
    <cellStyle name="Normal_P-HLEITE" xfId="5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150813</xdr:colOff>
      <xdr:row>3</xdr:row>
      <xdr:rowOff>15874</xdr:rowOff>
    </xdr:from>
    <xdr:to>
      <xdr:col>2</xdr:col>
      <xdr:colOff>632460</xdr:colOff>
      <xdr:row>7</xdr:row>
      <xdr:rowOff>0</xdr:rowOff>
    </xdr:to>
    <xdr:pic>
      <xdr:nvPicPr>
        <xdr:cNvPr id="260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993" y="633094"/>
          <a:ext cx="885507" cy="101282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152400</xdr:rowOff>
    </xdr:from>
    <xdr:to>
      <xdr:col>2</xdr:col>
      <xdr:colOff>790574</xdr:colOff>
      <xdr:row>8</xdr:row>
      <xdr:rowOff>129540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162050"/>
          <a:ext cx="1142999" cy="1596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9"/>
  <sheetViews>
    <sheetView tabSelected="1" topLeftCell="A50" zoomScale="125" zoomScaleNormal="125" workbookViewId="0">
      <selection activeCell="J420" sqref="J420"/>
    </sheetView>
  </sheetViews>
  <sheetFormatPr defaultRowHeight="15" x14ac:dyDescent="0.25"/>
  <cols>
    <col min="1" max="1" width="4.42578125" style="2" customWidth="1"/>
    <col min="2" max="2" width="6" style="17" customWidth="1"/>
    <col min="3" max="3" width="13.7109375" style="184" customWidth="1"/>
    <col min="4" max="4" width="66.7109375" style="2" customWidth="1"/>
    <col min="5" max="5" width="9.140625" style="2"/>
    <col min="6" max="6" width="9.140625" style="1"/>
    <col min="7" max="8" width="10.7109375" style="1" customWidth="1"/>
    <col min="9" max="16384" width="9.140625" style="2"/>
  </cols>
  <sheetData>
    <row r="2" spans="2:10" ht="16.5" customHeight="1" x14ac:dyDescent="0.25">
      <c r="B2" s="15"/>
      <c r="C2" s="199"/>
      <c r="D2" s="124" t="s">
        <v>13</v>
      </c>
      <c r="E2" s="10"/>
      <c r="F2" s="86" t="s">
        <v>111</v>
      </c>
      <c r="G2" s="87" t="s">
        <v>113</v>
      </c>
      <c r="H2" s="87" t="s">
        <v>112</v>
      </c>
    </row>
    <row r="3" spans="2:10" ht="16.5" customHeight="1" x14ac:dyDescent="0.25">
      <c r="B3" s="16"/>
      <c r="C3" s="200"/>
      <c r="D3" s="125" t="s">
        <v>8</v>
      </c>
      <c r="E3" s="11"/>
      <c r="F3" s="30" t="s">
        <v>836</v>
      </c>
      <c r="G3" s="80" t="s">
        <v>910</v>
      </c>
      <c r="H3" s="80" t="s">
        <v>911</v>
      </c>
    </row>
    <row r="4" spans="2:10" ht="16.5" customHeight="1" x14ac:dyDescent="0.25">
      <c r="B4" s="16"/>
      <c r="C4" s="200"/>
      <c r="D4" s="125" t="s">
        <v>10</v>
      </c>
      <c r="E4" s="11"/>
      <c r="F4" s="12"/>
      <c r="G4" s="88"/>
      <c r="H4" s="201"/>
    </row>
    <row r="5" spans="2:10" ht="27.75" customHeight="1" x14ac:dyDescent="0.25">
      <c r="B5" s="16"/>
      <c r="C5" s="200"/>
      <c r="D5" s="227" t="s">
        <v>837</v>
      </c>
      <c r="E5" s="228"/>
      <c r="F5" s="228"/>
      <c r="G5" s="228"/>
      <c r="H5" s="229"/>
    </row>
    <row r="6" spans="2:10" ht="39" customHeight="1" x14ac:dyDescent="0.25">
      <c r="B6" s="16"/>
      <c r="C6" s="200"/>
      <c r="D6" s="230" t="s">
        <v>125</v>
      </c>
      <c r="E6" s="231"/>
      <c r="F6" s="231"/>
      <c r="G6" s="232"/>
      <c r="H6" s="229"/>
      <c r="I6" s="195"/>
      <c r="J6" s="195"/>
    </row>
    <row r="7" spans="2:10" ht="36" customHeight="1" x14ac:dyDescent="0.25">
      <c r="B7" s="16"/>
      <c r="C7" s="200"/>
      <c r="D7" s="230" t="s">
        <v>832</v>
      </c>
      <c r="E7" s="231"/>
      <c r="F7" s="231"/>
      <c r="G7" s="232"/>
      <c r="H7" s="233"/>
      <c r="I7" s="195"/>
      <c r="J7" s="195"/>
    </row>
    <row r="8" spans="2:10" ht="18.75" customHeight="1" x14ac:dyDescent="0.25">
      <c r="B8" s="16"/>
      <c r="C8" s="200"/>
      <c r="D8" s="230" t="s">
        <v>839</v>
      </c>
      <c r="E8" s="228"/>
      <c r="F8" s="228"/>
      <c r="G8" s="234"/>
      <c r="H8" s="229"/>
      <c r="I8" s="195"/>
      <c r="J8" s="195"/>
    </row>
    <row r="9" spans="2:10" ht="16.5" customHeight="1" x14ac:dyDescent="0.25">
      <c r="B9" s="16"/>
      <c r="C9" s="200"/>
      <c r="D9" s="238" t="s">
        <v>126</v>
      </c>
      <c r="E9" s="232"/>
      <c r="F9" s="232"/>
      <c r="G9" s="232"/>
      <c r="H9" s="233"/>
      <c r="I9" s="195"/>
      <c r="J9" s="195"/>
    </row>
    <row r="10" spans="2:10" ht="18" customHeight="1" x14ac:dyDescent="0.25">
      <c r="B10" s="235" t="s">
        <v>9</v>
      </c>
      <c r="C10" s="236"/>
      <c r="D10" s="236"/>
      <c r="E10" s="236"/>
      <c r="F10" s="236"/>
      <c r="G10" s="236"/>
      <c r="H10" s="237"/>
      <c r="I10" s="21"/>
      <c r="J10" s="21"/>
    </row>
    <row r="11" spans="2:10" ht="9.75" customHeight="1" x14ac:dyDescent="0.25"/>
    <row r="12" spans="2:10" ht="39.75" customHeight="1" x14ac:dyDescent="0.25">
      <c r="B12" s="4" t="s">
        <v>0</v>
      </c>
      <c r="C12" s="202" t="s">
        <v>12</v>
      </c>
      <c r="D12" s="5" t="s">
        <v>1</v>
      </c>
      <c r="E12" s="5" t="s">
        <v>2</v>
      </c>
      <c r="F12" s="89" t="s">
        <v>3</v>
      </c>
      <c r="G12" s="89" t="s">
        <v>7</v>
      </c>
      <c r="H12" s="89" t="s">
        <v>4</v>
      </c>
    </row>
    <row r="14" spans="2:10" s="21" customFormat="1" ht="15" customHeight="1" x14ac:dyDescent="0.25">
      <c r="B14" s="181" t="s">
        <v>128</v>
      </c>
      <c r="C14" s="203"/>
      <c r="D14" s="126" t="s">
        <v>19</v>
      </c>
      <c r="F14" s="8"/>
      <c r="G14" s="8"/>
      <c r="H14" s="8"/>
    </row>
    <row r="15" spans="2:10" s="21" customFormat="1" ht="15" customHeight="1" x14ac:dyDescent="0.25">
      <c r="B15" s="181" t="s">
        <v>129</v>
      </c>
      <c r="C15" s="203" t="s">
        <v>383</v>
      </c>
      <c r="D15" s="189" t="s">
        <v>384</v>
      </c>
      <c r="E15" s="21" t="s">
        <v>21</v>
      </c>
      <c r="F15" s="8">
        <v>1</v>
      </c>
      <c r="G15" s="8">
        <f>H24</f>
        <v>299</v>
      </c>
      <c r="H15" s="8">
        <f t="shared" ref="H15:H23" si="0">TRUNC(F15*G15,2)</f>
        <v>299</v>
      </c>
      <c r="J15" s="203"/>
    </row>
    <row r="16" spans="2:10" s="21" customFormat="1" ht="15" customHeight="1" x14ac:dyDescent="0.25">
      <c r="B16" s="181"/>
      <c r="C16" s="203" t="s">
        <v>33</v>
      </c>
      <c r="D16" s="189" t="s">
        <v>34</v>
      </c>
      <c r="E16" s="21" t="s">
        <v>29</v>
      </c>
      <c r="F16" s="8">
        <v>0.3</v>
      </c>
      <c r="G16" s="8">
        <f>TRUNC(8.39,2)</f>
        <v>8.39</v>
      </c>
      <c r="H16" s="8">
        <f t="shared" si="0"/>
        <v>2.5099999999999998</v>
      </c>
      <c r="J16" s="203"/>
    </row>
    <row r="17" spans="2:10" s="21" customFormat="1" ht="15" customHeight="1" x14ac:dyDescent="0.25">
      <c r="B17" s="181"/>
      <c r="C17" s="203" t="s">
        <v>35</v>
      </c>
      <c r="D17" s="189" t="s">
        <v>36</v>
      </c>
      <c r="E17" s="21" t="s">
        <v>23</v>
      </c>
      <c r="F17" s="8">
        <v>9.1999999999999993</v>
      </c>
      <c r="G17" s="8">
        <f>TRUNC(2.46,2)</f>
        <v>2.46</v>
      </c>
      <c r="H17" s="8">
        <f t="shared" si="0"/>
        <v>22.63</v>
      </c>
      <c r="J17" s="203"/>
    </row>
    <row r="18" spans="2:10" s="21" customFormat="1" ht="15" customHeight="1" x14ac:dyDescent="0.25">
      <c r="B18" s="181"/>
      <c r="C18" s="203" t="s">
        <v>37</v>
      </c>
      <c r="D18" s="189" t="s">
        <v>38</v>
      </c>
      <c r="E18" s="21" t="s">
        <v>39</v>
      </c>
      <c r="F18" s="8">
        <v>0.2</v>
      </c>
      <c r="G18" s="8">
        <f>TRUNC(56.75,2)</f>
        <v>56.75</v>
      </c>
      <c r="H18" s="8">
        <f t="shared" si="0"/>
        <v>11.35</v>
      </c>
      <c r="J18" s="203"/>
    </row>
    <row r="19" spans="2:10" s="21" customFormat="1" ht="15" customHeight="1" x14ac:dyDescent="0.25">
      <c r="B19" s="181"/>
      <c r="C19" s="203" t="s">
        <v>40</v>
      </c>
      <c r="D19" s="189" t="s">
        <v>41</v>
      </c>
      <c r="E19" s="21" t="s">
        <v>29</v>
      </c>
      <c r="F19" s="8">
        <v>5</v>
      </c>
      <c r="G19" s="8">
        <f>TRUNC(6.1635,2)</f>
        <v>6.16</v>
      </c>
      <c r="H19" s="8">
        <f t="shared" si="0"/>
        <v>30.8</v>
      </c>
      <c r="J19" s="203"/>
    </row>
    <row r="20" spans="2:10" s="21" customFormat="1" ht="15" customHeight="1" x14ac:dyDescent="0.25">
      <c r="B20" s="181"/>
      <c r="C20" s="203" t="s">
        <v>68</v>
      </c>
      <c r="D20" s="189" t="s">
        <v>69</v>
      </c>
      <c r="E20" s="21" t="s">
        <v>44</v>
      </c>
      <c r="F20" s="8">
        <v>2.06</v>
      </c>
      <c r="G20" s="8">
        <f>TRUNC(12.54,2)</f>
        <v>12.54</v>
      </c>
      <c r="H20" s="8">
        <f t="shared" si="0"/>
        <v>25.83</v>
      </c>
      <c r="J20" s="203"/>
    </row>
    <row r="21" spans="2:10" s="21" customFormat="1" ht="15" customHeight="1" x14ac:dyDescent="0.25">
      <c r="B21" s="181"/>
      <c r="C21" s="203" t="s">
        <v>385</v>
      </c>
      <c r="D21" s="189" t="s">
        <v>386</v>
      </c>
      <c r="E21" s="21" t="s">
        <v>44</v>
      </c>
      <c r="F21" s="8">
        <v>4.12</v>
      </c>
      <c r="G21" s="8">
        <f>TRUNC(17.3,2)</f>
        <v>17.3</v>
      </c>
      <c r="H21" s="8">
        <f t="shared" si="0"/>
        <v>71.27</v>
      </c>
      <c r="J21" s="203"/>
    </row>
    <row r="22" spans="2:10" s="21" customFormat="1" ht="15" customHeight="1" x14ac:dyDescent="0.25">
      <c r="B22" s="181"/>
      <c r="C22" s="203" t="s">
        <v>70</v>
      </c>
      <c r="D22" s="189" t="s">
        <v>71</v>
      </c>
      <c r="E22" s="21" t="s">
        <v>44</v>
      </c>
      <c r="F22" s="8">
        <v>2.06</v>
      </c>
      <c r="G22" s="8">
        <f>TRUNC(18.63,2)</f>
        <v>18.63</v>
      </c>
      <c r="H22" s="8">
        <f t="shared" si="0"/>
        <v>38.369999999999997</v>
      </c>
      <c r="J22" s="203"/>
    </row>
    <row r="23" spans="2:10" s="21" customFormat="1" ht="15" customHeight="1" x14ac:dyDescent="0.25">
      <c r="B23" s="181"/>
      <c r="C23" s="203" t="s">
        <v>387</v>
      </c>
      <c r="D23" s="189" t="s">
        <v>388</v>
      </c>
      <c r="E23" s="21" t="s">
        <v>44</v>
      </c>
      <c r="F23" s="8">
        <v>1</v>
      </c>
      <c r="G23" s="8">
        <f>TRUNC(96.2468,2)</f>
        <v>96.24</v>
      </c>
      <c r="H23" s="8">
        <f t="shared" si="0"/>
        <v>96.24</v>
      </c>
      <c r="J23" s="203"/>
    </row>
    <row r="24" spans="2:10" s="21" customFormat="1" ht="15" customHeight="1" x14ac:dyDescent="0.25">
      <c r="B24" s="181"/>
      <c r="C24" s="203"/>
      <c r="D24" s="189"/>
      <c r="F24" s="8" t="s">
        <v>45</v>
      </c>
      <c r="G24" s="8"/>
      <c r="H24" s="8">
        <f>TRUNC(SUM(H16:H23),2)</f>
        <v>299</v>
      </c>
      <c r="J24" s="203"/>
    </row>
    <row r="25" spans="2:10" s="21" customFormat="1" x14ac:dyDescent="0.25">
      <c r="B25" s="25" t="s">
        <v>130</v>
      </c>
      <c r="C25" s="204" t="s">
        <v>389</v>
      </c>
      <c r="D25" s="21" t="s">
        <v>390</v>
      </c>
      <c r="E25" s="21" t="s">
        <v>21</v>
      </c>
      <c r="F25" s="8">
        <v>1</v>
      </c>
      <c r="G25" s="8">
        <f>H31</f>
        <v>13.45</v>
      </c>
      <c r="H25" s="8">
        <f t="shared" ref="H25:H30" si="1">TRUNC(F25*G25,2)</f>
        <v>13.45</v>
      </c>
    </row>
    <row r="26" spans="2:10" s="21" customFormat="1" x14ac:dyDescent="0.25">
      <c r="B26" s="25"/>
      <c r="C26" s="204" t="s">
        <v>135</v>
      </c>
      <c r="D26" s="21" t="s">
        <v>136</v>
      </c>
      <c r="E26" s="21" t="s">
        <v>21</v>
      </c>
      <c r="F26" s="8">
        <v>0.26250000000000001</v>
      </c>
      <c r="G26" s="8">
        <f>TRUNC(17.8,2)</f>
        <v>17.8</v>
      </c>
      <c r="H26" s="8">
        <f t="shared" si="1"/>
        <v>4.67</v>
      </c>
    </row>
    <row r="27" spans="2:10" s="21" customFormat="1" x14ac:dyDescent="0.25">
      <c r="B27" s="25"/>
      <c r="C27" s="204" t="s">
        <v>33</v>
      </c>
      <c r="D27" s="21" t="s">
        <v>34</v>
      </c>
      <c r="E27" s="21" t="s">
        <v>29</v>
      </c>
      <c r="F27" s="8">
        <v>0.05</v>
      </c>
      <c r="G27" s="8">
        <f>TRUNC(8.39,2)</f>
        <v>8.39</v>
      </c>
      <c r="H27" s="8">
        <f t="shared" si="1"/>
        <v>0.41</v>
      </c>
    </row>
    <row r="28" spans="2:10" s="21" customFormat="1" x14ac:dyDescent="0.25">
      <c r="B28" s="25"/>
      <c r="C28" s="204" t="s">
        <v>35</v>
      </c>
      <c r="D28" s="21" t="s">
        <v>36</v>
      </c>
      <c r="E28" s="21" t="s">
        <v>23</v>
      </c>
      <c r="F28" s="8">
        <v>0.8</v>
      </c>
      <c r="G28" s="8">
        <f>TRUNC(2.46,2)</f>
        <v>2.46</v>
      </c>
      <c r="H28" s="8">
        <f t="shared" si="1"/>
        <v>1.96</v>
      </c>
    </row>
    <row r="29" spans="2:10" s="21" customFormat="1" x14ac:dyDescent="0.25">
      <c r="B29" s="25"/>
      <c r="C29" s="204" t="s">
        <v>68</v>
      </c>
      <c r="D29" s="21" t="s">
        <v>69</v>
      </c>
      <c r="E29" s="21" t="s">
        <v>44</v>
      </c>
      <c r="F29" s="8">
        <v>0.20600000000000002</v>
      </c>
      <c r="G29" s="8">
        <f>TRUNC(12.54,2)</f>
        <v>12.54</v>
      </c>
      <c r="H29" s="8">
        <f t="shared" si="1"/>
        <v>2.58</v>
      </c>
    </row>
    <row r="30" spans="2:10" s="21" customFormat="1" x14ac:dyDescent="0.25">
      <c r="B30" s="25"/>
      <c r="C30" s="204" t="s">
        <v>70</v>
      </c>
      <c r="D30" s="21" t="s">
        <v>71</v>
      </c>
      <c r="E30" s="21" t="s">
        <v>44</v>
      </c>
      <c r="F30" s="8">
        <v>0.20600000000000002</v>
      </c>
      <c r="G30" s="8">
        <f>TRUNC(18.63,2)</f>
        <v>18.63</v>
      </c>
      <c r="H30" s="8">
        <f t="shared" si="1"/>
        <v>3.83</v>
      </c>
    </row>
    <row r="31" spans="2:10" s="21" customFormat="1" x14ac:dyDescent="0.25">
      <c r="B31" s="25"/>
      <c r="C31" s="204"/>
      <c r="F31" s="8" t="s">
        <v>45</v>
      </c>
      <c r="G31" s="8"/>
      <c r="H31" s="8">
        <f>TRUNC(SUM(H26:H30),2)</f>
        <v>13.45</v>
      </c>
    </row>
    <row r="32" spans="2:10" s="21" customFormat="1" x14ac:dyDescent="0.25">
      <c r="B32" s="25" t="s">
        <v>131</v>
      </c>
      <c r="C32" s="150" t="s">
        <v>391</v>
      </c>
      <c r="D32" s="21" t="s">
        <v>282</v>
      </c>
      <c r="E32" s="21" t="s">
        <v>21</v>
      </c>
      <c r="F32" s="8">
        <v>1</v>
      </c>
      <c r="G32" s="8">
        <f>H50</f>
        <v>321.52999999999997</v>
      </c>
      <c r="H32" s="8">
        <f t="shared" ref="H32:H49" si="2">TRUNC(F32*G32,2)</f>
        <v>321.52999999999997</v>
      </c>
    </row>
    <row r="33" spans="2:8" s="21" customFormat="1" x14ac:dyDescent="0.25">
      <c r="B33" s="25"/>
      <c r="C33" s="150" t="s">
        <v>283</v>
      </c>
      <c r="D33" s="21" t="s">
        <v>284</v>
      </c>
      <c r="E33" s="21" t="s">
        <v>27</v>
      </c>
      <c r="F33" s="8">
        <v>0.06</v>
      </c>
      <c r="G33" s="8">
        <f>TRUNC(7.5,2)</f>
        <v>7.5</v>
      </c>
      <c r="H33" s="8">
        <f t="shared" si="2"/>
        <v>0.45</v>
      </c>
    </row>
    <row r="34" spans="2:8" s="21" customFormat="1" x14ac:dyDescent="0.25">
      <c r="B34" s="25"/>
      <c r="C34" s="150" t="s">
        <v>35</v>
      </c>
      <c r="D34" s="21" t="s">
        <v>36</v>
      </c>
      <c r="E34" s="21" t="s">
        <v>23</v>
      </c>
      <c r="F34" s="8">
        <v>2</v>
      </c>
      <c r="G34" s="8">
        <f>TRUNC(2.46,2)</f>
        <v>2.46</v>
      </c>
      <c r="H34" s="8">
        <f t="shared" si="2"/>
        <v>4.92</v>
      </c>
    </row>
    <row r="35" spans="2:8" s="21" customFormat="1" x14ac:dyDescent="0.25">
      <c r="B35" s="25"/>
      <c r="C35" s="150" t="s">
        <v>33</v>
      </c>
      <c r="D35" s="21" t="s">
        <v>34</v>
      </c>
      <c r="E35" s="21" t="s">
        <v>29</v>
      </c>
      <c r="F35" s="8">
        <v>0.12</v>
      </c>
      <c r="G35" s="8">
        <f>TRUNC(8.39,2)</f>
        <v>8.39</v>
      </c>
      <c r="H35" s="8">
        <f t="shared" si="2"/>
        <v>1</v>
      </c>
    </row>
    <row r="36" spans="2:8" s="21" customFormat="1" x14ac:dyDescent="0.25">
      <c r="B36" s="25"/>
      <c r="C36" s="150" t="s">
        <v>285</v>
      </c>
      <c r="D36" s="21" t="s">
        <v>286</v>
      </c>
      <c r="E36" s="21" t="s">
        <v>27</v>
      </c>
      <c r="F36" s="8">
        <v>0.17170000000000002</v>
      </c>
      <c r="G36" s="8">
        <f>TRUNC(2.31,2)</f>
        <v>2.31</v>
      </c>
      <c r="H36" s="8">
        <f t="shared" si="2"/>
        <v>0.39</v>
      </c>
    </row>
    <row r="37" spans="2:8" s="21" customFormat="1" x14ac:dyDescent="0.25">
      <c r="B37" s="25"/>
      <c r="C37" s="150" t="s">
        <v>287</v>
      </c>
      <c r="D37" s="21" t="s">
        <v>288</v>
      </c>
      <c r="E37" s="21" t="s">
        <v>21</v>
      </c>
      <c r="F37" s="8">
        <v>0.06</v>
      </c>
      <c r="G37" s="8">
        <f>TRUNC(35,2)</f>
        <v>35</v>
      </c>
      <c r="H37" s="8">
        <f t="shared" si="2"/>
        <v>2.1</v>
      </c>
    </row>
    <row r="38" spans="2:8" s="21" customFormat="1" x14ac:dyDescent="0.25">
      <c r="B38" s="25"/>
      <c r="C38" s="150" t="s">
        <v>289</v>
      </c>
      <c r="D38" s="21" t="s">
        <v>290</v>
      </c>
      <c r="E38" s="21" t="s">
        <v>27</v>
      </c>
      <c r="F38" s="8">
        <v>8.0799999999999997E-2</v>
      </c>
      <c r="G38" s="8">
        <f>TRUNC(6.16,2)</f>
        <v>6.16</v>
      </c>
      <c r="H38" s="8">
        <f t="shared" si="2"/>
        <v>0.49</v>
      </c>
    </row>
    <row r="39" spans="2:8" s="21" customFormat="1" x14ac:dyDescent="0.25">
      <c r="B39" s="25"/>
      <c r="C39" s="150" t="s">
        <v>291</v>
      </c>
      <c r="D39" s="21" t="s">
        <v>292</v>
      </c>
      <c r="E39" s="21" t="s">
        <v>23</v>
      </c>
      <c r="F39" s="8">
        <v>0.505</v>
      </c>
      <c r="G39" s="8">
        <f>TRUNC(1.8096,2)</f>
        <v>1.8</v>
      </c>
      <c r="H39" s="8">
        <f t="shared" si="2"/>
        <v>0.9</v>
      </c>
    </row>
    <row r="40" spans="2:8" s="21" customFormat="1" x14ac:dyDescent="0.25">
      <c r="B40" s="25"/>
      <c r="C40" s="150" t="s">
        <v>293</v>
      </c>
      <c r="D40" s="21" t="s">
        <v>294</v>
      </c>
      <c r="E40" s="21" t="s">
        <v>27</v>
      </c>
      <c r="F40" s="8">
        <v>0.95</v>
      </c>
      <c r="G40" s="8">
        <f>TRUNC(1.24,2)</f>
        <v>1.24</v>
      </c>
      <c r="H40" s="8">
        <f t="shared" si="2"/>
        <v>1.17</v>
      </c>
    </row>
    <row r="41" spans="2:8" s="21" customFormat="1" x14ac:dyDescent="0.25">
      <c r="B41" s="25"/>
      <c r="C41" s="150" t="s">
        <v>295</v>
      </c>
      <c r="D41" s="21" t="s">
        <v>296</v>
      </c>
      <c r="E41" s="21" t="s">
        <v>27</v>
      </c>
      <c r="F41" s="8">
        <v>0.17</v>
      </c>
      <c r="G41" s="8">
        <f>TRUNC(22,2)</f>
        <v>22</v>
      </c>
      <c r="H41" s="8">
        <f t="shared" si="2"/>
        <v>3.74</v>
      </c>
    </row>
    <row r="42" spans="2:8" s="21" customFormat="1" x14ac:dyDescent="0.25">
      <c r="B42" s="25"/>
      <c r="C42" s="150" t="s">
        <v>297</v>
      </c>
      <c r="D42" s="21" t="s">
        <v>298</v>
      </c>
      <c r="E42" s="21" t="s">
        <v>27</v>
      </c>
      <c r="F42" s="8">
        <v>0.08</v>
      </c>
      <c r="G42" s="8">
        <f>TRUNC(3.6,2)</f>
        <v>3.6</v>
      </c>
      <c r="H42" s="8">
        <f t="shared" si="2"/>
        <v>0.28000000000000003</v>
      </c>
    </row>
    <row r="43" spans="2:8" s="21" customFormat="1" x14ac:dyDescent="0.25">
      <c r="B43" s="25"/>
      <c r="C43" s="150" t="s">
        <v>299</v>
      </c>
      <c r="D43" s="21" t="s">
        <v>300</v>
      </c>
      <c r="E43" s="21" t="s">
        <v>27</v>
      </c>
      <c r="F43" s="8">
        <v>8.0799999999999997E-2</v>
      </c>
      <c r="G43" s="8">
        <f>TRUNC(3.1,2)</f>
        <v>3.1</v>
      </c>
      <c r="H43" s="8">
        <f t="shared" si="2"/>
        <v>0.25</v>
      </c>
    </row>
    <row r="44" spans="2:8" s="21" customFormat="1" x14ac:dyDescent="0.25">
      <c r="B44" s="25"/>
      <c r="C44" s="150" t="s">
        <v>301</v>
      </c>
      <c r="D44" s="21" t="s">
        <v>302</v>
      </c>
      <c r="E44" s="21" t="s">
        <v>27</v>
      </c>
      <c r="F44" s="8">
        <v>0.27500000000000002</v>
      </c>
      <c r="G44" s="8">
        <f>TRUNC(42.9,2)</f>
        <v>42.9</v>
      </c>
      <c r="H44" s="8">
        <f t="shared" si="2"/>
        <v>11.79</v>
      </c>
    </row>
    <row r="45" spans="2:8" s="21" customFormat="1" x14ac:dyDescent="0.25">
      <c r="B45" s="25"/>
      <c r="C45" s="150" t="s">
        <v>303</v>
      </c>
      <c r="D45" s="21" t="s">
        <v>304</v>
      </c>
      <c r="E45" s="21" t="s">
        <v>27</v>
      </c>
      <c r="F45" s="8">
        <v>2.0199999999999999E-2</v>
      </c>
      <c r="G45" s="8">
        <f>TRUNC(4.23,2)</f>
        <v>4.2300000000000004</v>
      </c>
      <c r="H45" s="8">
        <f t="shared" si="2"/>
        <v>0.08</v>
      </c>
    </row>
    <row r="46" spans="2:8" s="21" customFormat="1" x14ac:dyDescent="0.25">
      <c r="B46" s="25"/>
      <c r="C46" s="150" t="s">
        <v>70</v>
      </c>
      <c r="D46" s="21" t="s">
        <v>71</v>
      </c>
      <c r="E46" s="21" t="s">
        <v>44</v>
      </c>
      <c r="F46" s="8">
        <v>8.1370000000000005</v>
      </c>
      <c r="G46" s="8">
        <f>TRUNC(18.63,2)</f>
        <v>18.63</v>
      </c>
      <c r="H46" s="8">
        <f t="shared" si="2"/>
        <v>151.59</v>
      </c>
    </row>
    <row r="47" spans="2:8" s="21" customFormat="1" x14ac:dyDescent="0.25">
      <c r="B47" s="25"/>
      <c r="C47" s="150" t="s">
        <v>392</v>
      </c>
      <c r="D47" s="21" t="s">
        <v>393</v>
      </c>
      <c r="E47" s="21" t="s">
        <v>44</v>
      </c>
      <c r="F47" s="8">
        <v>0.41200000000000003</v>
      </c>
      <c r="G47" s="8">
        <f>TRUNC(17.3,2)</f>
        <v>17.3</v>
      </c>
      <c r="H47" s="8">
        <f t="shared" si="2"/>
        <v>7.12</v>
      </c>
    </row>
    <row r="48" spans="2:8" s="21" customFormat="1" x14ac:dyDescent="0.25">
      <c r="B48" s="25"/>
      <c r="C48" s="150" t="s">
        <v>68</v>
      </c>
      <c r="D48" s="21" t="s">
        <v>69</v>
      </c>
      <c r="E48" s="21" t="s">
        <v>44</v>
      </c>
      <c r="F48" s="8">
        <v>8.5490000000000013</v>
      </c>
      <c r="G48" s="8">
        <f>TRUNC(12.54,2)</f>
        <v>12.54</v>
      </c>
      <c r="H48" s="8">
        <f t="shared" si="2"/>
        <v>107.2</v>
      </c>
    </row>
    <row r="49" spans="2:8" s="21" customFormat="1" x14ac:dyDescent="0.25">
      <c r="B49" s="25"/>
      <c r="C49" s="150" t="s">
        <v>170</v>
      </c>
      <c r="D49" s="21" t="s">
        <v>171</v>
      </c>
      <c r="E49" s="21" t="s">
        <v>21</v>
      </c>
      <c r="F49" s="8">
        <v>1.65</v>
      </c>
      <c r="G49" s="8">
        <f>TRUNC(17.0199,2)</f>
        <v>17.010000000000002</v>
      </c>
      <c r="H49" s="8">
        <f t="shared" si="2"/>
        <v>28.06</v>
      </c>
    </row>
    <row r="50" spans="2:8" s="21" customFormat="1" x14ac:dyDescent="0.25">
      <c r="B50" s="25"/>
      <c r="C50" s="150"/>
      <c r="F50" s="8" t="s">
        <v>45</v>
      </c>
      <c r="G50" s="8"/>
      <c r="H50" s="8">
        <f>TRUNC(SUM(H33:H49),2)</f>
        <v>321.52999999999997</v>
      </c>
    </row>
    <row r="51" spans="2:8" x14ac:dyDescent="0.25">
      <c r="B51" s="17" t="s">
        <v>132</v>
      </c>
      <c r="C51" s="184" t="s">
        <v>394</v>
      </c>
      <c r="D51" s="2" t="s">
        <v>395</v>
      </c>
      <c r="E51" s="2" t="s">
        <v>27</v>
      </c>
      <c r="F51" s="1">
        <v>1</v>
      </c>
      <c r="G51" s="1">
        <f>H93</f>
        <v>1622.29</v>
      </c>
      <c r="H51" s="1">
        <f t="shared" ref="H51:H92" si="3">TRUNC(F51*G51,2)</f>
        <v>1622.29</v>
      </c>
    </row>
    <row r="52" spans="2:8" x14ac:dyDescent="0.25">
      <c r="C52" s="184" t="s">
        <v>303</v>
      </c>
      <c r="D52" s="2" t="s">
        <v>304</v>
      </c>
      <c r="E52" s="2" t="s">
        <v>27</v>
      </c>
      <c r="F52" s="1">
        <v>0.22000000000000003</v>
      </c>
      <c r="G52" s="1">
        <f>TRUNC(4.23,2)</f>
        <v>4.2300000000000004</v>
      </c>
      <c r="H52" s="1">
        <f t="shared" si="3"/>
        <v>0.93</v>
      </c>
    </row>
    <row r="53" spans="2:8" x14ac:dyDescent="0.25">
      <c r="C53" s="184" t="s">
        <v>338</v>
      </c>
      <c r="D53" s="2" t="s">
        <v>339</v>
      </c>
      <c r="E53" s="2" t="s">
        <v>27</v>
      </c>
      <c r="F53" s="1">
        <v>0.5</v>
      </c>
      <c r="G53" s="1">
        <f>TRUNC(5.02,2)</f>
        <v>5.0199999999999996</v>
      </c>
      <c r="H53" s="1">
        <f t="shared" si="3"/>
        <v>2.5099999999999998</v>
      </c>
    </row>
    <row r="54" spans="2:8" x14ac:dyDescent="0.25">
      <c r="C54" s="184" t="s">
        <v>340</v>
      </c>
      <c r="D54" s="2" t="s">
        <v>341</v>
      </c>
      <c r="E54" s="2" t="s">
        <v>27</v>
      </c>
      <c r="F54" s="1">
        <v>0.5</v>
      </c>
      <c r="G54" s="1">
        <f>TRUNC(1.59,2)</f>
        <v>1.59</v>
      </c>
      <c r="H54" s="1">
        <f t="shared" si="3"/>
        <v>0.79</v>
      </c>
    </row>
    <row r="55" spans="2:8" x14ac:dyDescent="0.25">
      <c r="C55" s="184" t="s">
        <v>330</v>
      </c>
      <c r="D55" s="2" t="s">
        <v>331</v>
      </c>
      <c r="E55" s="2" t="s">
        <v>27</v>
      </c>
      <c r="F55" s="1">
        <v>3</v>
      </c>
      <c r="G55" s="1">
        <f>TRUNC(1.32,2)</f>
        <v>1.32</v>
      </c>
      <c r="H55" s="1">
        <f t="shared" si="3"/>
        <v>3.96</v>
      </c>
    </row>
    <row r="56" spans="2:8" x14ac:dyDescent="0.25">
      <c r="C56" s="184" t="s">
        <v>119</v>
      </c>
      <c r="D56" s="2" t="s">
        <v>120</v>
      </c>
      <c r="E56" s="2" t="s">
        <v>27</v>
      </c>
      <c r="F56" s="1">
        <v>0.13</v>
      </c>
      <c r="G56" s="1">
        <f>TRUNC(41.54,2)</f>
        <v>41.54</v>
      </c>
      <c r="H56" s="1">
        <f t="shared" si="3"/>
        <v>5.4</v>
      </c>
    </row>
    <row r="57" spans="2:8" x14ac:dyDescent="0.25">
      <c r="C57" s="184" t="s">
        <v>308</v>
      </c>
      <c r="D57" s="2" t="s">
        <v>309</v>
      </c>
      <c r="E57" s="2" t="s">
        <v>27</v>
      </c>
      <c r="F57" s="1">
        <v>0.16</v>
      </c>
      <c r="G57" s="1">
        <f>TRUNC(42,2)</f>
        <v>42</v>
      </c>
      <c r="H57" s="1">
        <f t="shared" si="3"/>
        <v>6.72</v>
      </c>
    </row>
    <row r="58" spans="2:8" x14ac:dyDescent="0.25">
      <c r="C58" s="184" t="s">
        <v>310</v>
      </c>
      <c r="D58" s="2" t="s">
        <v>311</v>
      </c>
      <c r="E58" s="2" t="s">
        <v>27</v>
      </c>
      <c r="F58" s="1">
        <v>2</v>
      </c>
      <c r="G58" s="1">
        <f>TRUNC(61.57,2)</f>
        <v>61.57</v>
      </c>
      <c r="H58" s="1">
        <f t="shared" si="3"/>
        <v>123.14</v>
      </c>
    </row>
    <row r="59" spans="2:8" x14ac:dyDescent="0.25">
      <c r="C59" s="184" t="s">
        <v>312</v>
      </c>
      <c r="D59" s="2" t="s">
        <v>313</v>
      </c>
      <c r="E59" s="2" t="s">
        <v>27</v>
      </c>
      <c r="F59" s="1">
        <v>0.5</v>
      </c>
      <c r="G59" s="1">
        <f>TRUNC(22.11,2)</f>
        <v>22.11</v>
      </c>
      <c r="H59" s="1">
        <f t="shared" si="3"/>
        <v>11.05</v>
      </c>
    </row>
    <row r="60" spans="2:8" x14ac:dyDescent="0.25">
      <c r="C60" s="184" t="s">
        <v>293</v>
      </c>
      <c r="D60" s="2" t="s">
        <v>294</v>
      </c>
      <c r="E60" s="2" t="s">
        <v>27</v>
      </c>
      <c r="F60" s="1">
        <v>8</v>
      </c>
      <c r="G60" s="1">
        <f>TRUNC(1.24,2)</f>
        <v>1.24</v>
      </c>
      <c r="H60" s="1">
        <f t="shared" si="3"/>
        <v>9.92</v>
      </c>
    </row>
    <row r="61" spans="2:8" x14ac:dyDescent="0.25">
      <c r="C61" s="184" t="s">
        <v>52</v>
      </c>
      <c r="D61" s="2" t="s">
        <v>53</v>
      </c>
      <c r="E61" s="2" t="s">
        <v>27</v>
      </c>
      <c r="F61" s="1">
        <v>0.25</v>
      </c>
      <c r="G61" s="1">
        <f>TRUNC(2.87,2)</f>
        <v>2.87</v>
      </c>
      <c r="H61" s="1">
        <f t="shared" si="3"/>
        <v>0.71</v>
      </c>
    </row>
    <row r="62" spans="2:8" x14ac:dyDescent="0.25">
      <c r="C62" s="184" t="s">
        <v>59</v>
      </c>
      <c r="D62" s="2" t="s">
        <v>60</v>
      </c>
      <c r="E62" s="2" t="s">
        <v>27</v>
      </c>
      <c r="F62" s="1">
        <v>0.5</v>
      </c>
      <c r="G62" s="1">
        <f>TRUNC(2.17,2)</f>
        <v>2.17</v>
      </c>
      <c r="H62" s="1">
        <f t="shared" si="3"/>
        <v>1.08</v>
      </c>
    </row>
    <row r="63" spans="2:8" x14ac:dyDescent="0.25">
      <c r="C63" s="184" t="s">
        <v>291</v>
      </c>
      <c r="D63" s="2" t="s">
        <v>292</v>
      </c>
      <c r="E63" s="2" t="s">
        <v>23</v>
      </c>
      <c r="F63" s="1">
        <v>3.3000000000000003</v>
      </c>
      <c r="G63" s="1">
        <f>TRUNC(1.8096,2)</f>
        <v>1.8</v>
      </c>
      <c r="H63" s="1">
        <f t="shared" si="3"/>
        <v>5.94</v>
      </c>
    </row>
    <row r="64" spans="2:8" x14ac:dyDescent="0.25">
      <c r="C64" s="184" t="s">
        <v>306</v>
      </c>
      <c r="D64" s="2" t="s">
        <v>307</v>
      </c>
      <c r="E64" s="2" t="s">
        <v>27</v>
      </c>
      <c r="F64" s="1">
        <v>1</v>
      </c>
      <c r="G64" s="1">
        <f>TRUNC(1.07,2)</f>
        <v>1.07</v>
      </c>
      <c r="H64" s="1">
        <f t="shared" si="3"/>
        <v>1.07</v>
      </c>
    </row>
    <row r="65" spans="3:8" x14ac:dyDescent="0.25">
      <c r="C65" s="184" t="s">
        <v>314</v>
      </c>
      <c r="D65" s="2" t="s">
        <v>315</v>
      </c>
      <c r="E65" s="2" t="s">
        <v>27</v>
      </c>
      <c r="F65" s="1">
        <v>1</v>
      </c>
      <c r="G65" s="1">
        <f>TRUNC(16,2)</f>
        <v>16</v>
      </c>
      <c r="H65" s="1">
        <f t="shared" si="3"/>
        <v>16</v>
      </c>
    </row>
    <row r="66" spans="3:8" x14ac:dyDescent="0.25">
      <c r="C66" s="184" t="s">
        <v>316</v>
      </c>
      <c r="D66" s="2" t="s">
        <v>317</v>
      </c>
      <c r="E66" s="2" t="s">
        <v>27</v>
      </c>
      <c r="F66" s="1">
        <v>1</v>
      </c>
      <c r="G66" s="1">
        <f>TRUNC(0.2543,2)</f>
        <v>0.25</v>
      </c>
      <c r="H66" s="1">
        <f t="shared" si="3"/>
        <v>0.25</v>
      </c>
    </row>
    <row r="67" spans="3:8" x14ac:dyDescent="0.25">
      <c r="C67" s="184" t="s">
        <v>318</v>
      </c>
      <c r="D67" s="2" t="s">
        <v>319</v>
      </c>
      <c r="E67" s="2" t="s">
        <v>27</v>
      </c>
      <c r="F67" s="1">
        <v>1</v>
      </c>
      <c r="G67" s="1">
        <f>TRUNC(0.83,2)</f>
        <v>0.83</v>
      </c>
      <c r="H67" s="1">
        <f t="shared" si="3"/>
        <v>0.83</v>
      </c>
    </row>
    <row r="68" spans="3:8" x14ac:dyDescent="0.25">
      <c r="C68" s="184" t="s">
        <v>285</v>
      </c>
      <c r="D68" s="2" t="s">
        <v>286</v>
      </c>
      <c r="E68" s="2" t="s">
        <v>27</v>
      </c>
      <c r="F68" s="1">
        <v>0.55000000000000004</v>
      </c>
      <c r="G68" s="1">
        <f>TRUNC(2.31,2)</f>
        <v>2.31</v>
      </c>
      <c r="H68" s="1">
        <f t="shared" si="3"/>
        <v>1.27</v>
      </c>
    </row>
    <row r="69" spans="3:8" x14ac:dyDescent="0.25">
      <c r="C69" s="184" t="s">
        <v>33</v>
      </c>
      <c r="D69" s="2" t="s">
        <v>34</v>
      </c>
      <c r="E69" s="2" t="s">
        <v>29</v>
      </c>
      <c r="F69" s="1">
        <v>1.85</v>
      </c>
      <c r="G69" s="1">
        <f>TRUNC(8.39,2)</f>
        <v>8.39</v>
      </c>
      <c r="H69" s="1">
        <f t="shared" si="3"/>
        <v>15.52</v>
      </c>
    </row>
    <row r="70" spans="3:8" x14ac:dyDescent="0.25">
      <c r="C70" s="184" t="s">
        <v>35</v>
      </c>
      <c r="D70" s="2" t="s">
        <v>36</v>
      </c>
      <c r="E70" s="2" t="s">
        <v>23</v>
      </c>
      <c r="F70" s="1">
        <v>25.2</v>
      </c>
      <c r="G70" s="1">
        <f>TRUNC(2.46,2)</f>
        <v>2.46</v>
      </c>
      <c r="H70" s="1">
        <f t="shared" si="3"/>
        <v>61.99</v>
      </c>
    </row>
    <row r="71" spans="3:8" x14ac:dyDescent="0.25">
      <c r="C71" s="184" t="s">
        <v>295</v>
      </c>
      <c r="D71" s="2" t="s">
        <v>296</v>
      </c>
      <c r="E71" s="2" t="s">
        <v>27</v>
      </c>
      <c r="F71" s="1">
        <v>0.5</v>
      </c>
      <c r="G71" s="1">
        <f>TRUNC(22,2)</f>
        <v>22</v>
      </c>
      <c r="H71" s="1">
        <f t="shared" si="3"/>
        <v>11</v>
      </c>
    </row>
    <row r="72" spans="3:8" x14ac:dyDescent="0.25">
      <c r="C72" s="184" t="s">
        <v>328</v>
      </c>
      <c r="D72" s="2" t="s">
        <v>329</v>
      </c>
      <c r="E72" s="2" t="s">
        <v>27</v>
      </c>
      <c r="F72" s="1">
        <v>0.5</v>
      </c>
      <c r="G72" s="1">
        <f>TRUNC(1.11,2)</f>
        <v>1.1100000000000001</v>
      </c>
      <c r="H72" s="1">
        <f t="shared" si="3"/>
        <v>0.55000000000000004</v>
      </c>
    </row>
    <row r="73" spans="3:8" x14ac:dyDescent="0.25">
      <c r="C73" s="184" t="s">
        <v>336</v>
      </c>
      <c r="D73" s="2" t="s">
        <v>337</v>
      </c>
      <c r="E73" s="2" t="s">
        <v>27</v>
      </c>
      <c r="F73" s="1">
        <v>0.5</v>
      </c>
      <c r="G73" s="1">
        <f>TRUNC(12.41,2)</f>
        <v>12.41</v>
      </c>
      <c r="H73" s="1">
        <f t="shared" si="3"/>
        <v>6.2</v>
      </c>
    </row>
    <row r="74" spans="3:8" x14ac:dyDescent="0.25">
      <c r="C74" s="184" t="s">
        <v>322</v>
      </c>
      <c r="D74" s="2" t="s">
        <v>323</v>
      </c>
      <c r="E74" s="2" t="s">
        <v>27</v>
      </c>
      <c r="F74" s="1">
        <v>0.5</v>
      </c>
      <c r="G74" s="1">
        <f>TRUNC(89.51,2)</f>
        <v>89.51</v>
      </c>
      <c r="H74" s="1">
        <f t="shared" si="3"/>
        <v>44.75</v>
      </c>
    </row>
    <row r="75" spans="3:8" x14ac:dyDescent="0.25">
      <c r="C75" s="184" t="s">
        <v>334</v>
      </c>
      <c r="D75" s="2" t="s">
        <v>335</v>
      </c>
      <c r="E75" s="2" t="s">
        <v>27</v>
      </c>
      <c r="F75" s="1">
        <v>0.5</v>
      </c>
      <c r="G75" s="1">
        <f>TRUNC(20.66,2)</f>
        <v>20.66</v>
      </c>
      <c r="H75" s="1">
        <f t="shared" si="3"/>
        <v>10.33</v>
      </c>
    </row>
    <row r="76" spans="3:8" x14ac:dyDescent="0.25">
      <c r="C76" s="184" t="s">
        <v>299</v>
      </c>
      <c r="D76" s="2" t="s">
        <v>300</v>
      </c>
      <c r="E76" s="2" t="s">
        <v>27</v>
      </c>
      <c r="F76" s="1">
        <v>0.55000000000000004</v>
      </c>
      <c r="G76" s="1">
        <f>TRUNC(3.1,2)</f>
        <v>3.1</v>
      </c>
      <c r="H76" s="1">
        <f t="shared" si="3"/>
        <v>1.7</v>
      </c>
    </row>
    <row r="77" spans="3:8" x14ac:dyDescent="0.25">
      <c r="C77" s="184" t="s">
        <v>297</v>
      </c>
      <c r="D77" s="2" t="s">
        <v>298</v>
      </c>
      <c r="E77" s="2" t="s">
        <v>27</v>
      </c>
      <c r="F77" s="1">
        <v>3</v>
      </c>
      <c r="G77" s="1">
        <f>TRUNC(3.6,2)</f>
        <v>3.6</v>
      </c>
      <c r="H77" s="1">
        <f t="shared" si="3"/>
        <v>10.8</v>
      </c>
    </row>
    <row r="78" spans="3:8" x14ac:dyDescent="0.25">
      <c r="C78" s="184" t="s">
        <v>342</v>
      </c>
      <c r="D78" s="2" t="s">
        <v>343</v>
      </c>
      <c r="E78" s="2" t="s">
        <v>27</v>
      </c>
      <c r="F78" s="1">
        <v>0.5</v>
      </c>
      <c r="G78" s="1">
        <f>TRUNC(27.82,2)</f>
        <v>27.82</v>
      </c>
      <c r="H78" s="1">
        <f t="shared" si="3"/>
        <v>13.91</v>
      </c>
    </row>
    <row r="79" spans="3:8" x14ac:dyDescent="0.25">
      <c r="C79" s="184" t="s">
        <v>326</v>
      </c>
      <c r="D79" s="2" t="s">
        <v>327</v>
      </c>
      <c r="E79" s="2" t="s">
        <v>27</v>
      </c>
      <c r="F79" s="1">
        <v>0.5</v>
      </c>
      <c r="G79" s="1">
        <f>TRUNC(19.97,2)</f>
        <v>19.97</v>
      </c>
      <c r="H79" s="1">
        <f t="shared" si="3"/>
        <v>9.98</v>
      </c>
    </row>
    <row r="80" spans="3:8" x14ac:dyDescent="0.25">
      <c r="C80" s="184" t="s">
        <v>324</v>
      </c>
      <c r="D80" s="2" t="s">
        <v>325</v>
      </c>
      <c r="E80" s="2" t="s">
        <v>27</v>
      </c>
      <c r="F80" s="1">
        <v>0.5</v>
      </c>
      <c r="G80" s="1">
        <f>TRUNC(34.2,2)</f>
        <v>34.200000000000003</v>
      </c>
      <c r="H80" s="1">
        <f t="shared" si="3"/>
        <v>17.100000000000001</v>
      </c>
    </row>
    <row r="81" spans="2:8" x14ac:dyDescent="0.25">
      <c r="C81" s="184" t="s">
        <v>320</v>
      </c>
      <c r="D81" s="2" t="s">
        <v>321</v>
      </c>
      <c r="E81" s="2" t="s">
        <v>27</v>
      </c>
      <c r="F81" s="1">
        <v>0.5</v>
      </c>
      <c r="G81" s="1">
        <f>TRUNC(13.58,2)</f>
        <v>13.58</v>
      </c>
      <c r="H81" s="1">
        <f t="shared" si="3"/>
        <v>6.79</v>
      </c>
    </row>
    <row r="82" spans="2:8" x14ac:dyDescent="0.25">
      <c r="C82" s="184" t="s">
        <v>332</v>
      </c>
      <c r="D82" s="2" t="s">
        <v>333</v>
      </c>
      <c r="E82" s="2" t="s">
        <v>27</v>
      </c>
      <c r="F82" s="1">
        <v>0.5</v>
      </c>
      <c r="G82" s="1">
        <f>TRUNC(18.5,2)</f>
        <v>18.5</v>
      </c>
      <c r="H82" s="1">
        <f t="shared" si="3"/>
        <v>9.25</v>
      </c>
    </row>
    <row r="83" spans="2:8" x14ac:dyDescent="0.25">
      <c r="C83" s="184" t="s">
        <v>301</v>
      </c>
      <c r="D83" s="2" t="s">
        <v>302</v>
      </c>
      <c r="E83" s="2" t="s">
        <v>27</v>
      </c>
      <c r="F83" s="1">
        <v>1.32</v>
      </c>
      <c r="G83" s="1">
        <f>TRUNC(42.9,2)</f>
        <v>42.9</v>
      </c>
      <c r="H83" s="1">
        <f t="shared" si="3"/>
        <v>56.62</v>
      </c>
    </row>
    <row r="84" spans="2:8" x14ac:dyDescent="0.25">
      <c r="C84" s="184" t="s">
        <v>123</v>
      </c>
      <c r="D84" s="2" t="s">
        <v>124</v>
      </c>
      <c r="E84" s="2" t="s">
        <v>44</v>
      </c>
      <c r="F84" s="1">
        <v>6.18</v>
      </c>
      <c r="G84" s="1">
        <f>TRUNC(17.3,2)</f>
        <v>17.3</v>
      </c>
      <c r="H84" s="1">
        <f t="shared" si="3"/>
        <v>106.91</v>
      </c>
    </row>
    <row r="85" spans="2:8" x14ac:dyDescent="0.25">
      <c r="C85" s="184" t="s">
        <v>70</v>
      </c>
      <c r="D85" s="2" t="s">
        <v>71</v>
      </c>
      <c r="E85" s="2" t="s">
        <v>44</v>
      </c>
      <c r="F85" s="1">
        <v>19.055</v>
      </c>
      <c r="G85" s="1">
        <f>TRUNC(18.63,2)</f>
        <v>18.63</v>
      </c>
      <c r="H85" s="1">
        <f t="shared" si="3"/>
        <v>354.99</v>
      </c>
    </row>
    <row r="86" spans="2:8" x14ac:dyDescent="0.25">
      <c r="C86" s="184" t="s">
        <v>392</v>
      </c>
      <c r="D86" s="2" t="s">
        <v>393</v>
      </c>
      <c r="E86" s="2" t="s">
        <v>44</v>
      </c>
      <c r="F86" s="1">
        <v>1.5449999999999999</v>
      </c>
      <c r="G86" s="1">
        <f>TRUNC(17.3,2)</f>
        <v>17.3</v>
      </c>
      <c r="H86" s="1">
        <f t="shared" si="3"/>
        <v>26.72</v>
      </c>
    </row>
    <row r="87" spans="2:8" x14ac:dyDescent="0.25">
      <c r="C87" s="184" t="s">
        <v>68</v>
      </c>
      <c r="D87" s="2" t="s">
        <v>69</v>
      </c>
      <c r="E87" s="2" t="s">
        <v>44</v>
      </c>
      <c r="F87" s="1">
        <v>26.78</v>
      </c>
      <c r="G87" s="1">
        <f>TRUNC(12.54,2)</f>
        <v>12.54</v>
      </c>
      <c r="H87" s="1">
        <f t="shared" si="3"/>
        <v>335.82</v>
      </c>
    </row>
    <row r="88" spans="2:8" x14ac:dyDescent="0.25">
      <c r="C88" s="184" t="s">
        <v>170</v>
      </c>
      <c r="D88" s="2" t="s">
        <v>171</v>
      </c>
      <c r="E88" s="2" t="s">
        <v>21</v>
      </c>
      <c r="F88" s="1">
        <v>13.86</v>
      </c>
      <c r="G88" s="1">
        <f>TRUNC(17.0199,2)</f>
        <v>17.010000000000002</v>
      </c>
      <c r="H88" s="1">
        <f t="shared" si="3"/>
        <v>235.75</v>
      </c>
    </row>
    <row r="89" spans="2:8" x14ac:dyDescent="0.25">
      <c r="C89" s="184" t="s">
        <v>396</v>
      </c>
      <c r="D89" s="2" t="s">
        <v>397</v>
      </c>
      <c r="E89" s="2" t="s">
        <v>24</v>
      </c>
      <c r="F89" s="1">
        <v>0.12</v>
      </c>
      <c r="G89" s="1">
        <f>TRUNC(195.1539,2)</f>
        <v>195.15</v>
      </c>
      <c r="H89" s="1">
        <f t="shared" si="3"/>
        <v>23.41</v>
      </c>
    </row>
    <row r="90" spans="2:8" x14ac:dyDescent="0.25">
      <c r="C90" s="184" t="s">
        <v>398</v>
      </c>
      <c r="D90" s="2" t="s">
        <v>399</v>
      </c>
      <c r="E90" s="2" t="s">
        <v>24</v>
      </c>
      <c r="F90" s="1">
        <v>0.12</v>
      </c>
      <c r="G90" s="1">
        <f>TRUNC(62.5225,2)</f>
        <v>62.52</v>
      </c>
      <c r="H90" s="1">
        <f t="shared" si="3"/>
        <v>7.5</v>
      </c>
    </row>
    <row r="91" spans="2:8" x14ac:dyDescent="0.25">
      <c r="C91" s="184" t="s">
        <v>400</v>
      </c>
      <c r="D91" s="2" t="s">
        <v>401</v>
      </c>
      <c r="E91" s="2" t="s">
        <v>24</v>
      </c>
      <c r="F91" s="1">
        <v>0.12</v>
      </c>
      <c r="G91" s="1">
        <f>TRUNC(57.1022,2)</f>
        <v>57.1</v>
      </c>
      <c r="H91" s="1">
        <f t="shared" si="3"/>
        <v>6.85</v>
      </c>
    </row>
    <row r="92" spans="2:8" x14ac:dyDescent="0.25">
      <c r="C92" s="184" t="s">
        <v>402</v>
      </c>
      <c r="D92" s="2" t="s">
        <v>403</v>
      </c>
      <c r="E92" s="2" t="s">
        <v>21</v>
      </c>
      <c r="F92" s="1">
        <v>2</v>
      </c>
      <c r="G92" s="1">
        <f>TRUNC(28.1447,2)</f>
        <v>28.14</v>
      </c>
      <c r="H92" s="1">
        <f t="shared" si="3"/>
        <v>56.28</v>
      </c>
    </row>
    <row r="93" spans="2:8" x14ac:dyDescent="0.25">
      <c r="F93" s="1" t="s">
        <v>45</v>
      </c>
      <c r="H93" s="1">
        <f>TRUNC(SUM(H52:H92),2)</f>
        <v>1622.29</v>
      </c>
    </row>
    <row r="94" spans="2:8" x14ac:dyDescent="0.25">
      <c r="B94" s="17" t="s">
        <v>133</v>
      </c>
      <c r="C94" s="184" t="s">
        <v>156</v>
      </c>
      <c r="D94" s="2" t="s">
        <v>157</v>
      </c>
      <c r="E94" s="2" t="s">
        <v>27</v>
      </c>
      <c r="F94" s="1">
        <v>1</v>
      </c>
      <c r="G94" s="1">
        <f>H111</f>
        <v>2752.47</v>
      </c>
      <c r="H94" s="1">
        <f t="shared" ref="H94:H110" si="4">TRUNC(F94*G94,2)</f>
        <v>2752.47</v>
      </c>
    </row>
    <row r="95" spans="2:8" x14ac:dyDescent="0.25">
      <c r="C95" s="184" t="s">
        <v>158</v>
      </c>
      <c r="D95" s="2" t="s">
        <v>159</v>
      </c>
      <c r="E95" s="2" t="s">
        <v>27</v>
      </c>
      <c r="F95" s="1">
        <v>1</v>
      </c>
      <c r="G95" s="1">
        <f>TRUNC(10.4,2)</f>
        <v>10.4</v>
      </c>
      <c r="H95" s="1">
        <f t="shared" si="4"/>
        <v>10.4</v>
      </c>
    </row>
    <row r="96" spans="2:8" x14ac:dyDescent="0.25">
      <c r="C96" s="184" t="s">
        <v>35</v>
      </c>
      <c r="D96" s="2" t="s">
        <v>36</v>
      </c>
      <c r="E96" s="2" t="s">
        <v>23</v>
      </c>
      <c r="F96" s="1">
        <v>25</v>
      </c>
      <c r="G96" s="1">
        <f>TRUNC(2.46,2)</f>
        <v>2.46</v>
      </c>
      <c r="H96" s="1">
        <f t="shared" si="4"/>
        <v>61.5</v>
      </c>
    </row>
    <row r="97" spans="2:8" x14ac:dyDescent="0.25">
      <c r="C97" s="184" t="s">
        <v>33</v>
      </c>
      <c r="D97" s="2" t="s">
        <v>34</v>
      </c>
      <c r="E97" s="2" t="s">
        <v>29</v>
      </c>
      <c r="F97" s="1">
        <v>1</v>
      </c>
      <c r="G97" s="1">
        <f>TRUNC(8.39,2)</f>
        <v>8.39</v>
      </c>
      <c r="H97" s="1">
        <f t="shared" si="4"/>
        <v>8.39</v>
      </c>
    </row>
    <row r="98" spans="2:8" x14ac:dyDescent="0.25">
      <c r="C98" s="184" t="s">
        <v>50</v>
      </c>
      <c r="D98" s="2" t="s">
        <v>51</v>
      </c>
      <c r="E98" s="2" t="s">
        <v>27</v>
      </c>
      <c r="F98" s="1">
        <v>30</v>
      </c>
      <c r="G98" s="1">
        <f>TRUNC(0.5,2)</f>
        <v>0.5</v>
      </c>
      <c r="H98" s="1">
        <f t="shared" si="4"/>
        <v>15</v>
      </c>
    </row>
    <row r="99" spans="2:8" x14ac:dyDescent="0.25">
      <c r="C99" s="184" t="s">
        <v>160</v>
      </c>
      <c r="D99" s="2" t="s">
        <v>161</v>
      </c>
      <c r="E99" s="2" t="s">
        <v>27</v>
      </c>
      <c r="F99" s="1">
        <v>1</v>
      </c>
      <c r="G99" s="1">
        <f>TRUNC(19.16,2)</f>
        <v>19.16</v>
      </c>
      <c r="H99" s="1">
        <f t="shared" si="4"/>
        <v>19.16</v>
      </c>
    </row>
    <row r="100" spans="2:8" x14ac:dyDescent="0.25">
      <c r="C100" s="184" t="s">
        <v>162</v>
      </c>
      <c r="D100" s="2" t="s">
        <v>163</v>
      </c>
      <c r="E100" s="2" t="s">
        <v>23</v>
      </c>
      <c r="F100" s="1">
        <v>30</v>
      </c>
      <c r="G100" s="1">
        <f>TRUNC(13.66,2)</f>
        <v>13.66</v>
      </c>
      <c r="H100" s="1">
        <f t="shared" si="4"/>
        <v>409.8</v>
      </c>
    </row>
    <row r="101" spans="2:8" x14ac:dyDescent="0.25">
      <c r="C101" s="184" t="s">
        <v>164</v>
      </c>
      <c r="D101" s="2" t="s">
        <v>165</v>
      </c>
      <c r="E101" s="2" t="s">
        <v>23</v>
      </c>
      <c r="F101" s="1">
        <v>3.44</v>
      </c>
      <c r="G101" s="1">
        <f>TRUNC(8.5,2)</f>
        <v>8.5</v>
      </c>
      <c r="H101" s="1">
        <f t="shared" si="4"/>
        <v>29.24</v>
      </c>
    </row>
    <row r="102" spans="2:8" x14ac:dyDescent="0.25">
      <c r="C102" s="184" t="s">
        <v>166</v>
      </c>
      <c r="D102" s="2" t="s">
        <v>167</v>
      </c>
      <c r="E102" s="2" t="s">
        <v>27</v>
      </c>
      <c r="F102" s="1">
        <v>1</v>
      </c>
      <c r="G102" s="1">
        <f>TRUNC(257.4,2)</f>
        <v>257.39999999999998</v>
      </c>
      <c r="H102" s="1">
        <f t="shared" si="4"/>
        <v>257.39999999999998</v>
      </c>
    </row>
    <row r="103" spans="2:8" x14ac:dyDescent="0.25">
      <c r="C103" s="184" t="s">
        <v>123</v>
      </c>
      <c r="D103" s="2" t="s">
        <v>124</v>
      </c>
      <c r="E103" s="2" t="s">
        <v>44</v>
      </c>
      <c r="F103" s="1">
        <v>11.33</v>
      </c>
      <c r="G103" s="1">
        <f>TRUNC(17.3,2)</f>
        <v>17.3</v>
      </c>
      <c r="H103" s="1">
        <f t="shared" si="4"/>
        <v>196</v>
      </c>
    </row>
    <row r="104" spans="2:8" x14ac:dyDescent="0.25">
      <c r="C104" s="184" t="s">
        <v>70</v>
      </c>
      <c r="D104" s="2" t="s">
        <v>71</v>
      </c>
      <c r="E104" s="2" t="s">
        <v>44</v>
      </c>
      <c r="F104" s="1">
        <v>8.24</v>
      </c>
      <c r="G104" s="1">
        <f>TRUNC(18.63,2)</f>
        <v>18.63</v>
      </c>
      <c r="H104" s="1">
        <f t="shared" si="4"/>
        <v>153.51</v>
      </c>
    </row>
    <row r="105" spans="2:8" x14ac:dyDescent="0.25">
      <c r="C105" s="184" t="s">
        <v>72</v>
      </c>
      <c r="D105" s="2" t="s">
        <v>73</v>
      </c>
      <c r="E105" s="2" t="s">
        <v>44</v>
      </c>
      <c r="F105" s="1">
        <v>8.24</v>
      </c>
      <c r="G105" s="1">
        <f>TRUNC(17.3,2)</f>
        <v>17.3</v>
      </c>
      <c r="H105" s="1">
        <f t="shared" si="4"/>
        <v>142.55000000000001</v>
      </c>
    </row>
    <row r="106" spans="2:8" x14ac:dyDescent="0.25">
      <c r="C106" s="184" t="s">
        <v>68</v>
      </c>
      <c r="D106" s="2" t="s">
        <v>69</v>
      </c>
      <c r="E106" s="2" t="s">
        <v>44</v>
      </c>
      <c r="F106" s="1">
        <v>8.24</v>
      </c>
      <c r="G106" s="1">
        <f>TRUNC(12.54,2)</f>
        <v>12.54</v>
      </c>
      <c r="H106" s="1">
        <f t="shared" si="4"/>
        <v>103.32</v>
      </c>
    </row>
    <row r="107" spans="2:8" x14ac:dyDescent="0.25">
      <c r="C107" s="184" t="s">
        <v>168</v>
      </c>
      <c r="D107" s="2" t="s">
        <v>169</v>
      </c>
      <c r="E107" s="2" t="s">
        <v>27</v>
      </c>
      <c r="F107" s="1">
        <v>1</v>
      </c>
      <c r="G107" s="1">
        <f>TRUNC(793.36,2)</f>
        <v>793.36</v>
      </c>
      <c r="H107" s="1">
        <f t="shared" si="4"/>
        <v>793.36</v>
      </c>
    </row>
    <row r="108" spans="2:8" x14ac:dyDescent="0.25">
      <c r="C108" s="184" t="s">
        <v>170</v>
      </c>
      <c r="D108" s="2" t="s">
        <v>171</v>
      </c>
      <c r="E108" s="2" t="s">
        <v>21</v>
      </c>
      <c r="F108" s="1">
        <v>8</v>
      </c>
      <c r="G108" s="1">
        <f>TRUNC(17.0199,2)</f>
        <v>17.010000000000002</v>
      </c>
      <c r="H108" s="1">
        <f t="shared" si="4"/>
        <v>136.08000000000001</v>
      </c>
    </row>
    <row r="109" spans="2:8" x14ac:dyDescent="0.25">
      <c r="C109" s="184" t="s">
        <v>172</v>
      </c>
      <c r="D109" s="2" t="s">
        <v>173</v>
      </c>
      <c r="E109" s="2" t="s">
        <v>24</v>
      </c>
      <c r="F109" s="1">
        <v>1.7999999999999999E-2</v>
      </c>
      <c r="G109" s="1">
        <f>TRUNC(262.9457,2)</f>
        <v>262.94</v>
      </c>
      <c r="H109" s="1">
        <f t="shared" si="4"/>
        <v>4.7300000000000004</v>
      </c>
    </row>
    <row r="110" spans="2:8" x14ac:dyDescent="0.25">
      <c r="C110" s="184" t="s">
        <v>174</v>
      </c>
      <c r="D110" s="2" t="s">
        <v>175</v>
      </c>
      <c r="E110" s="2" t="s">
        <v>27</v>
      </c>
      <c r="F110" s="1">
        <v>1</v>
      </c>
      <c r="G110" s="1">
        <f>TRUNC(412.0349,2)</f>
        <v>412.03</v>
      </c>
      <c r="H110" s="1">
        <f t="shared" si="4"/>
        <v>412.03</v>
      </c>
    </row>
    <row r="111" spans="2:8" x14ac:dyDescent="0.25">
      <c r="F111" s="1" t="s">
        <v>45</v>
      </c>
      <c r="H111" s="1">
        <f>TRUNC(SUM(H95:H110),2)</f>
        <v>2752.47</v>
      </c>
    </row>
    <row r="112" spans="2:8" s="21" customFormat="1" ht="15" customHeight="1" x14ac:dyDescent="0.25">
      <c r="B112" s="25">
        <v>2</v>
      </c>
      <c r="C112" s="150"/>
      <c r="D112" s="127" t="s">
        <v>28</v>
      </c>
      <c r="F112" s="8"/>
      <c r="G112" s="8"/>
      <c r="H112" s="8"/>
    </row>
    <row r="113" spans="2:8" s="21" customFormat="1" ht="15" customHeight="1" x14ac:dyDescent="0.25">
      <c r="B113" s="25" t="s">
        <v>714</v>
      </c>
      <c r="C113" s="150" t="s">
        <v>405</v>
      </c>
      <c r="D113" s="21" t="s">
        <v>410</v>
      </c>
      <c r="E113" s="21" t="s">
        <v>21</v>
      </c>
      <c r="F113" s="8">
        <v>1</v>
      </c>
      <c r="G113" s="8">
        <f>H120</f>
        <v>2.13</v>
      </c>
      <c r="H113" s="8">
        <f t="shared" ref="H113:H119" si="5">TRUNC(F113*G113,2)</f>
        <v>2.13</v>
      </c>
    </row>
    <row r="114" spans="2:8" s="21" customFormat="1" ht="15" customHeight="1" x14ac:dyDescent="0.25">
      <c r="B114" s="25"/>
      <c r="C114" s="150" t="s">
        <v>33</v>
      </c>
      <c r="D114" s="21" t="s">
        <v>34</v>
      </c>
      <c r="E114" s="21" t="s">
        <v>29</v>
      </c>
      <c r="F114" s="8">
        <v>2E-3</v>
      </c>
      <c r="G114" s="8">
        <f>TRUNC(8.39,2)</f>
        <v>8.39</v>
      </c>
      <c r="H114" s="8">
        <f t="shared" si="5"/>
        <v>0.01</v>
      </c>
    </row>
    <row r="115" spans="2:8" s="21" customFormat="1" ht="15" customHeight="1" x14ac:dyDescent="0.25">
      <c r="B115" s="25"/>
      <c r="C115" s="150" t="s">
        <v>35</v>
      </c>
      <c r="D115" s="21" t="s">
        <v>36</v>
      </c>
      <c r="E115" s="21" t="s">
        <v>23</v>
      </c>
      <c r="F115" s="8">
        <v>0.05</v>
      </c>
      <c r="G115" s="8">
        <f>TRUNC(2.46,2)</f>
        <v>2.46</v>
      </c>
      <c r="H115" s="8">
        <f t="shared" si="5"/>
        <v>0.12</v>
      </c>
    </row>
    <row r="116" spans="2:8" s="21" customFormat="1" ht="15" customHeight="1" x14ac:dyDescent="0.25">
      <c r="B116" s="25"/>
      <c r="C116" s="150" t="s">
        <v>241</v>
      </c>
      <c r="D116" s="21" t="s">
        <v>242</v>
      </c>
      <c r="E116" s="21" t="s">
        <v>23</v>
      </c>
      <c r="F116" s="8">
        <v>7.0000000000000007E-2</v>
      </c>
      <c r="G116" s="8">
        <f>TRUNC(5.3,2)</f>
        <v>5.3</v>
      </c>
      <c r="H116" s="8">
        <f t="shared" si="5"/>
        <v>0.37</v>
      </c>
    </row>
    <row r="117" spans="2:8" s="21" customFormat="1" ht="15" customHeight="1" x14ac:dyDescent="0.25">
      <c r="B117" s="25"/>
      <c r="C117" s="150" t="s">
        <v>108</v>
      </c>
      <c r="D117" s="21" t="s">
        <v>109</v>
      </c>
      <c r="E117" s="21" t="s">
        <v>29</v>
      </c>
      <c r="F117" s="8">
        <v>4.0000000000000001E-3</v>
      </c>
      <c r="G117" s="8">
        <f>TRUNC(5.4325,2)</f>
        <v>5.43</v>
      </c>
      <c r="H117" s="8">
        <f t="shared" si="5"/>
        <v>0.02</v>
      </c>
    </row>
    <row r="118" spans="2:8" s="21" customFormat="1" ht="15" customHeight="1" x14ac:dyDescent="0.25">
      <c r="B118" s="25"/>
      <c r="C118" s="150" t="s">
        <v>68</v>
      </c>
      <c r="D118" s="21" t="s">
        <v>69</v>
      </c>
      <c r="E118" s="21" t="s">
        <v>44</v>
      </c>
      <c r="F118" s="8">
        <v>7.2100000000000011E-2</v>
      </c>
      <c r="G118" s="8">
        <f>TRUNC(12.54,2)</f>
        <v>12.54</v>
      </c>
      <c r="H118" s="8">
        <f t="shared" si="5"/>
        <v>0.9</v>
      </c>
    </row>
    <row r="119" spans="2:8" s="21" customFormat="1" ht="15" customHeight="1" x14ac:dyDescent="0.25">
      <c r="B119" s="25"/>
      <c r="C119" s="150" t="s">
        <v>411</v>
      </c>
      <c r="D119" s="21" t="s">
        <v>412</v>
      </c>
      <c r="E119" s="21" t="s">
        <v>44</v>
      </c>
      <c r="F119" s="8">
        <v>4.1200000000000001E-2</v>
      </c>
      <c r="G119" s="8">
        <f>TRUNC(17.3,2)</f>
        <v>17.3</v>
      </c>
      <c r="H119" s="8">
        <f t="shared" si="5"/>
        <v>0.71</v>
      </c>
    </row>
    <row r="120" spans="2:8" s="21" customFormat="1" ht="15" customHeight="1" x14ac:dyDescent="0.25">
      <c r="B120" s="25"/>
      <c r="C120" s="150"/>
      <c r="F120" s="8" t="s">
        <v>45</v>
      </c>
      <c r="G120" s="8"/>
      <c r="H120" s="8">
        <f>TRUNC(SUM(H114:H119),2)</f>
        <v>2.13</v>
      </c>
    </row>
    <row r="121" spans="2:8" s="21" customFormat="1" ht="15" customHeight="1" x14ac:dyDescent="0.25">
      <c r="B121" s="25" t="s">
        <v>715</v>
      </c>
      <c r="C121" s="150" t="s">
        <v>606</v>
      </c>
      <c r="D121" s="21" t="s">
        <v>605</v>
      </c>
      <c r="E121" s="21" t="s">
        <v>24</v>
      </c>
      <c r="F121" s="8">
        <v>1</v>
      </c>
      <c r="G121" s="8">
        <f>H125</f>
        <v>2.38</v>
      </c>
      <c r="H121" s="8">
        <f>TRUNC(F121*G121,2)</f>
        <v>2.38</v>
      </c>
    </row>
    <row r="122" spans="2:8" s="21" customFormat="1" ht="15" customHeight="1" x14ac:dyDescent="0.25">
      <c r="B122" s="25"/>
      <c r="C122" s="150" t="s">
        <v>74</v>
      </c>
      <c r="D122" s="21" t="s">
        <v>46</v>
      </c>
      <c r="E122" s="21" t="s">
        <v>44</v>
      </c>
      <c r="F122" s="8">
        <v>1.9199999999999998E-2</v>
      </c>
      <c r="G122" s="8">
        <f>TRUNC(18.78,2)</f>
        <v>18.78</v>
      </c>
      <c r="H122" s="8">
        <f>TRUNC(F122*G122,2)</f>
        <v>0.36</v>
      </c>
    </row>
    <row r="123" spans="2:8" s="21" customFormat="1" ht="15" customHeight="1" x14ac:dyDescent="0.25">
      <c r="B123" s="25"/>
      <c r="C123" s="150" t="s">
        <v>607</v>
      </c>
      <c r="D123" s="21" t="s">
        <v>608</v>
      </c>
      <c r="E123" s="21" t="s">
        <v>48</v>
      </c>
      <c r="F123" s="8">
        <v>1.34E-2</v>
      </c>
      <c r="G123" s="8">
        <f>TRUNC(129.57,2)</f>
        <v>129.57</v>
      </c>
      <c r="H123" s="8">
        <f>TRUNC(F123*G123,2)</f>
        <v>1.73</v>
      </c>
    </row>
    <row r="124" spans="2:8" s="21" customFormat="1" ht="15" customHeight="1" x14ac:dyDescent="0.25">
      <c r="B124" s="25"/>
      <c r="C124" s="150" t="s">
        <v>609</v>
      </c>
      <c r="D124" s="21" t="s">
        <v>610</v>
      </c>
      <c r="E124" s="21" t="s">
        <v>47</v>
      </c>
      <c r="F124" s="8">
        <v>5.7999999999999996E-3</v>
      </c>
      <c r="G124" s="8">
        <f>TRUNC(51.4,2)</f>
        <v>51.4</v>
      </c>
      <c r="H124" s="8">
        <f>TRUNC(F124*G124,2)</f>
        <v>0.28999999999999998</v>
      </c>
    </row>
    <row r="125" spans="2:8" s="21" customFormat="1" ht="15" customHeight="1" x14ac:dyDescent="0.25">
      <c r="B125" s="25"/>
      <c r="C125" s="150"/>
      <c r="F125" s="8" t="s">
        <v>45</v>
      </c>
      <c r="G125" s="8"/>
      <c r="H125" s="8">
        <f>TRUNC(SUM(H122:H124),2)</f>
        <v>2.38</v>
      </c>
    </row>
    <row r="126" spans="2:8" x14ac:dyDescent="0.25">
      <c r="B126" s="17" t="s">
        <v>716</v>
      </c>
      <c r="C126" s="204" t="s">
        <v>406</v>
      </c>
      <c r="D126" s="2" t="s">
        <v>248</v>
      </c>
      <c r="E126" s="2" t="s">
        <v>24</v>
      </c>
      <c r="F126" s="1">
        <v>1</v>
      </c>
      <c r="G126" s="1">
        <f>TRUNC(43.91508,2)</f>
        <v>43.91</v>
      </c>
      <c r="H126" s="1">
        <f>TRUNC(F126*G126,2)</f>
        <v>43.91</v>
      </c>
    </row>
    <row r="127" spans="2:8" x14ac:dyDescent="0.25">
      <c r="C127" s="204" t="s">
        <v>68</v>
      </c>
      <c r="D127" s="2" t="s">
        <v>69</v>
      </c>
      <c r="E127" s="2" t="s">
        <v>44</v>
      </c>
      <c r="F127" s="1">
        <v>3.5019999999999998</v>
      </c>
      <c r="G127" s="1">
        <f>TRUNC(12.54,2)</f>
        <v>12.54</v>
      </c>
      <c r="H127" s="1">
        <f>TRUNC(F127*G127,2)</f>
        <v>43.91</v>
      </c>
    </row>
    <row r="128" spans="2:8" x14ac:dyDescent="0.25">
      <c r="C128" s="204"/>
      <c r="F128" s="1" t="s">
        <v>45</v>
      </c>
      <c r="H128" s="1">
        <f>TRUNC(SUM(H127:H127),2)</f>
        <v>43.91</v>
      </c>
    </row>
    <row r="129" spans="2:8" ht="15" customHeight="1" x14ac:dyDescent="0.25">
      <c r="B129" s="181" t="s">
        <v>717</v>
      </c>
      <c r="C129" s="204" t="s">
        <v>435</v>
      </c>
      <c r="D129" s="35" t="s">
        <v>440</v>
      </c>
      <c r="E129" s="34" t="s">
        <v>24</v>
      </c>
      <c r="F129" s="57">
        <v>1</v>
      </c>
      <c r="G129" s="57">
        <f>H134</f>
        <v>17.170000000000002</v>
      </c>
      <c r="H129" s="57">
        <f>TRUNC(F129*G129,2)</f>
        <v>17.170000000000002</v>
      </c>
    </row>
    <row r="130" spans="2:8" ht="15" customHeight="1" x14ac:dyDescent="0.25">
      <c r="B130" s="181"/>
      <c r="C130" s="204" t="s">
        <v>68</v>
      </c>
      <c r="D130" s="35" t="s">
        <v>69</v>
      </c>
      <c r="E130" s="34" t="s">
        <v>44</v>
      </c>
      <c r="F130" s="57">
        <v>1.09901</v>
      </c>
      <c r="G130" s="57">
        <f>TRUNC(12.54,2)</f>
        <v>12.54</v>
      </c>
      <c r="H130" s="57">
        <f>TRUNC(F130*G130,2)</f>
        <v>13.78</v>
      </c>
    </row>
    <row r="131" spans="2:8" ht="15" customHeight="1" x14ac:dyDescent="0.25">
      <c r="B131" s="181"/>
      <c r="C131" s="204" t="s">
        <v>441</v>
      </c>
      <c r="D131" s="35" t="s">
        <v>442</v>
      </c>
      <c r="E131" s="34" t="s">
        <v>44</v>
      </c>
      <c r="F131" s="57">
        <v>0.13699</v>
      </c>
      <c r="G131" s="57">
        <f>TRUNC(19.45,2)</f>
        <v>19.45</v>
      </c>
      <c r="H131" s="57">
        <f>TRUNC(F131*G131,2)</f>
        <v>2.66</v>
      </c>
    </row>
    <row r="132" spans="2:8" ht="15" customHeight="1" x14ac:dyDescent="0.25">
      <c r="B132" s="181"/>
      <c r="C132" s="204" t="s">
        <v>443</v>
      </c>
      <c r="D132" s="35" t="s">
        <v>444</v>
      </c>
      <c r="E132" s="34" t="s">
        <v>44</v>
      </c>
      <c r="F132" s="57">
        <v>3.3000000000000002E-2</v>
      </c>
      <c r="G132" s="57">
        <f>TRUNC(1.4478,2)</f>
        <v>1.44</v>
      </c>
      <c r="H132" s="57">
        <f>TRUNC(F132*G132,2)</f>
        <v>0.04</v>
      </c>
    </row>
    <row r="133" spans="2:8" ht="15" customHeight="1" x14ac:dyDescent="0.25">
      <c r="B133" s="181"/>
      <c r="C133" s="204" t="s">
        <v>445</v>
      </c>
      <c r="D133" s="35" t="s">
        <v>446</v>
      </c>
      <c r="E133" s="34" t="s">
        <v>44</v>
      </c>
      <c r="F133" s="57">
        <v>0.1</v>
      </c>
      <c r="G133" s="57">
        <f>TRUNC(6.9939,2)</f>
        <v>6.99</v>
      </c>
      <c r="H133" s="57">
        <f>TRUNC(F133*G133,2)</f>
        <v>0.69</v>
      </c>
    </row>
    <row r="134" spans="2:8" ht="15" customHeight="1" x14ac:dyDescent="0.25">
      <c r="B134" s="181"/>
      <c r="C134" s="204"/>
      <c r="D134" s="35"/>
      <c r="E134" s="34"/>
      <c r="F134" s="57" t="s">
        <v>45</v>
      </c>
      <c r="G134" s="57"/>
      <c r="H134" s="57">
        <f>TRUNC(SUM(H130:H133),2)</f>
        <v>17.170000000000002</v>
      </c>
    </row>
    <row r="135" spans="2:8" x14ac:dyDescent="0.25">
      <c r="B135" s="17" t="s">
        <v>718</v>
      </c>
      <c r="C135" s="204" t="s">
        <v>407</v>
      </c>
      <c r="D135" s="2" t="s">
        <v>114</v>
      </c>
      <c r="E135" s="2" t="s">
        <v>24</v>
      </c>
      <c r="F135" s="1">
        <v>1</v>
      </c>
      <c r="G135" s="1">
        <f>H139</f>
        <v>1.7</v>
      </c>
      <c r="H135" s="1">
        <f>TRUNC(F135*G135,2)</f>
        <v>1.7</v>
      </c>
    </row>
    <row r="136" spans="2:8" x14ac:dyDescent="0.25">
      <c r="C136" s="204" t="s">
        <v>74</v>
      </c>
      <c r="D136" s="2" t="s">
        <v>46</v>
      </c>
      <c r="E136" s="2" t="s">
        <v>44</v>
      </c>
      <c r="F136" s="1">
        <v>8.0000000000000002E-3</v>
      </c>
      <c r="G136" s="1">
        <f>TRUNC(18.78,2)</f>
        <v>18.78</v>
      </c>
      <c r="H136" s="1">
        <f>TRUNC(F136*G136,2)</f>
        <v>0.15</v>
      </c>
    </row>
    <row r="137" spans="2:8" x14ac:dyDescent="0.25">
      <c r="C137" s="204" t="s">
        <v>413</v>
      </c>
      <c r="D137" s="2" t="s">
        <v>414</v>
      </c>
      <c r="E137" s="2" t="s">
        <v>48</v>
      </c>
      <c r="F137" s="1">
        <v>8.0000000000000002E-3</v>
      </c>
      <c r="G137" s="1">
        <f>TRUNC(135.6,2)</f>
        <v>135.6</v>
      </c>
      <c r="H137" s="1">
        <f>TRUNC(F137*G137,2)</f>
        <v>1.08</v>
      </c>
    </row>
    <row r="138" spans="2:8" x14ac:dyDescent="0.25">
      <c r="C138" s="204" t="s">
        <v>415</v>
      </c>
      <c r="D138" s="2" t="s">
        <v>416</v>
      </c>
      <c r="E138" s="2" t="s">
        <v>48</v>
      </c>
      <c r="F138" s="1">
        <v>3.0000000000000001E-3</v>
      </c>
      <c r="G138" s="1">
        <f>TRUNC(159.66,2)</f>
        <v>159.66</v>
      </c>
      <c r="H138" s="1">
        <f>TRUNC(F138*G138,2)</f>
        <v>0.47</v>
      </c>
    </row>
    <row r="139" spans="2:8" x14ac:dyDescent="0.25">
      <c r="C139" s="204"/>
      <c r="F139" s="1" t="s">
        <v>45</v>
      </c>
      <c r="H139" s="1">
        <f>TRUNC(SUM(H136:H138),2)</f>
        <v>1.7</v>
      </c>
    </row>
    <row r="140" spans="2:8" x14ac:dyDescent="0.25">
      <c r="B140" s="17" t="s">
        <v>719</v>
      </c>
      <c r="C140" s="204" t="s">
        <v>408</v>
      </c>
      <c r="D140" s="2" t="s">
        <v>226</v>
      </c>
      <c r="E140" s="2" t="s">
        <v>26</v>
      </c>
      <c r="F140" s="1">
        <v>1</v>
      </c>
      <c r="G140" s="1">
        <f>H143</f>
        <v>1.5</v>
      </c>
      <c r="H140" s="1">
        <f>TRUNC(F140*G140,2)</f>
        <v>1.5</v>
      </c>
    </row>
    <row r="141" spans="2:8" x14ac:dyDescent="0.25">
      <c r="C141" s="204" t="s">
        <v>417</v>
      </c>
      <c r="D141" s="2" t="s">
        <v>418</v>
      </c>
      <c r="E141" s="2" t="s">
        <v>47</v>
      </c>
      <c r="F141" s="1">
        <v>2.5999999999999999E-3</v>
      </c>
      <c r="G141" s="1">
        <f>TRUNC(33.15,2)</f>
        <v>33.15</v>
      </c>
      <c r="H141" s="1">
        <f>TRUNC(F141*G141,2)</f>
        <v>0.08</v>
      </c>
    </row>
    <row r="142" spans="2:8" x14ac:dyDescent="0.25">
      <c r="C142" s="204" t="s">
        <v>419</v>
      </c>
      <c r="D142" s="2" t="s">
        <v>420</v>
      </c>
      <c r="E142" s="2" t="s">
        <v>48</v>
      </c>
      <c r="F142" s="1">
        <v>1.042E-2</v>
      </c>
      <c r="G142" s="1">
        <f>TRUNC(137.21,2)</f>
        <v>137.21</v>
      </c>
      <c r="H142" s="1">
        <f>TRUNC(F142*G142,2)</f>
        <v>1.42</v>
      </c>
    </row>
    <row r="143" spans="2:8" x14ac:dyDescent="0.25">
      <c r="C143" s="204"/>
      <c r="F143" s="1" t="s">
        <v>45</v>
      </c>
      <c r="H143" s="1">
        <f>TRUNC(SUM(H141:H142),2)</f>
        <v>1.5</v>
      </c>
    </row>
    <row r="144" spans="2:8" x14ac:dyDescent="0.25">
      <c r="B144" s="17" t="s">
        <v>720</v>
      </c>
      <c r="C144" s="204" t="s">
        <v>409</v>
      </c>
      <c r="D144" s="2" t="s">
        <v>115</v>
      </c>
      <c r="E144" s="2" t="s">
        <v>24</v>
      </c>
      <c r="F144" s="1">
        <v>1</v>
      </c>
      <c r="G144" s="1">
        <f>H148</f>
        <v>1.63</v>
      </c>
      <c r="H144" s="1">
        <f>TRUNC(F144*G144,2)</f>
        <v>1.63</v>
      </c>
    </row>
    <row r="145" spans="1:12" x14ac:dyDescent="0.25">
      <c r="C145" s="204" t="s">
        <v>74</v>
      </c>
      <c r="D145" s="2" t="s">
        <v>46</v>
      </c>
      <c r="E145" s="2" t="s">
        <v>44</v>
      </c>
      <c r="F145" s="1">
        <v>1.1299999999999999E-2</v>
      </c>
      <c r="G145" s="1">
        <f>TRUNC(18.78,2)</f>
        <v>18.78</v>
      </c>
      <c r="H145" s="1">
        <f>TRUNC(F145*G145,2)</f>
        <v>0.21</v>
      </c>
    </row>
    <row r="146" spans="1:12" x14ac:dyDescent="0.25">
      <c r="C146" s="204" t="s">
        <v>421</v>
      </c>
      <c r="D146" s="2" t="s">
        <v>422</v>
      </c>
      <c r="E146" s="2" t="s">
        <v>47</v>
      </c>
      <c r="F146" s="1">
        <v>3.3999999999999998E-3</v>
      </c>
      <c r="G146" s="1">
        <f>TRUNC(52.52,2)</f>
        <v>52.52</v>
      </c>
      <c r="H146" s="1">
        <f>TRUNC(F146*G146,2)</f>
        <v>0.17</v>
      </c>
    </row>
    <row r="147" spans="1:12" x14ac:dyDescent="0.25">
      <c r="C147" s="204" t="s">
        <v>423</v>
      </c>
      <c r="D147" s="2" t="s">
        <v>424</v>
      </c>
      <c r="E147" s="2" t="s">
        <v>48</v>
      </c>
      <c r="F147" s="1">
        <v>7.9000000000000008E-3</v>
      </c>
      <c r="G147" s="1">
        <f>TRUNC(158.63,2)</f>
        <v>158.63</v>
      </c>
      <c r="H147" s="1">
        <f>TRUNC(F147*G147,2)</f>
        <v>1.25</v>
      </c>
    </row>
    <row r="148" spans="1:12" x14ac:dyDescent="0.25">
      <c r="C148" s="204"/>
      <c r="F148" s="1" t="s">
        <v>45</v>
      </c>
      <c r="H148" s="1">
        <f>TRUNC(SUM(H145:H147),2)</f>
        <v>1.63</v>
      </c>
    </row>
    <row r="149" spans="1:12" x14ac:dyDescent="0.25">
      <c r="C149" s="204"/>
    </row>
    <row r="150" spans="1:12" s="21" customFormat="1" x14ac:dyDescent="0.25">
      <c r="A150" s="59"/>
      <c r="B150" s="60" t="s">
        <v>227</v>
      </c>
      <c r="C150" s="60"/>
      <c r="D150" s="128" t="s">
        <v>269</v>
      </c>
      <c r="E150" s="205"/>
      <c r="F150" s="62"/>
      <c r="G150" s="62"/>
      <c r="H150" s="62"/>
      <c r="I150" s="62"/>
      <c r="J150" s="61"/>
      <c r="K150" s="44"/>
      <c r="L150" s="62"/>
    </row>
    <row r="151" spans="1:12" x14ac:dyDescent="0.25">
      <c r="B151" s="17" t="s">
        <v>721</v>
      </c>
      <c r="C151" s="184" t="s">
        <v>425</v>
      </c>
      <c r="D151" s="2" t="s">
        <v>426</v>
      </c>
      <c r="E151" s="2" t="s">
        <v>24</v>
      </c>
      <c r="F151" s="1">
        <v>1</v>
      </c>
      <c r="G151" s="1">
        <f>TRUNC(176.3772,2)</f>
        <v>176.37</v>
      </c>
      <c r="H151" s="1">
        <f>TRUNC(F151*G151,2)</f>
        <v>176.37</v>
      </c>
    </row>
    <row r="152" spans="1:12" x14ac:dyDescent="0.25">
      <c r="C152" s="184" t="s">
        <v>68</v>
      </c>
      <c r="D152" s="2" t="s">
        <v>69</v>
      </c>
      <c r="E152" s="2" t="s">
        <v>44</v>
      </c>
      <c r="F152" s="1">
        <v>12.36</v>
      </c>
      <c r="G152" s="1">
        <f>TRUNC(12.54,2)</f>
        <v>12.54</v>
      </c>
      <c r="H152" s="1">
        <f>TRUNC(F152*G152,2)</f>
        <v>154.99</v>
      </c>
    </row>
    <row r="153" spans="1:12" x14ac:dyDescent="0.25">
      <c r="C153" s="184" t="s">
        <v>72</v>
      </c>
      <c r="D153" s="2" t="s">
        <v>73</v>
      </c>
      <c r="E153" s="2" t="s">
        <v>44</v>
      </c>
      <c r="F153" s="1">
        <v>1.236</v>
      </c>
      <c r="G153" s="1">
        <f>TRUNC(17.3,2)</f>
        <v>17.3</v>
      </c>
      <c r="H153" s="1">
        <f>TRUNC(F153*G153,2)</f>
        <v>21.38</v>
      </c>
    </row>
    <row r="154" spans="1:12" x14ac:dyDescent="0.25">
      <c r="F154" s="1" t="s">
        <v>45</v>
      </c>
      <c r="H154" s="1">
        <f>TRUNC(SUM(H152:H153),2)</f>
        <v>176.37</v>
      </c>
    </row>
    <row r="155" spans="1:12" x14ac:dyDescent="0.25">
      <c r="B155" s="17" t="s">
        <v>725</v>
      </c>
      <c r="C155" s="184" t="s">
        <v>427</v>
      </c>
      <c r="D155" s="2" t="s">
        <v>428</v>
      </c>
      <c r="E155" s="2" t="s">
        <v>27</v>
      </c>
      <c r="F155" s="1">
        <v>1</v>
      </c>
      <c r="G155" s="1">
        <f>TRUNC(112.36785,2)</f>
        <v>112.36</v>
      </c>
      <c r="H155" s="1">
        <f>TRUNC(F155*G155,2)</f>
        <v>112.36</v>
      </c>
    </row>
    <row r="156" spans="1:12" x14ac:dyDescent="0.25">
      <c r="C156" s="184" t="s">
        <v>429</v>
      </c>
      <c r="D156" s="2" t="s">
        <v>430</v>
      </c>
      <c r="E156" s="2" t="s">
        <v>44</v>
      </c>
      <c r="F156" s="1">
        <v>10.815</v>
      </c>
      <c r="G156" s="1">
        <f>TRUNC(10.39,2)</f>
        <v>10.39</v>
      </c>
      <c r="H156" s="1">
        <f>TRUNC(F156*G156,2)</f>
        <v>112.36</v>
      </c>
    </row>
    <row r="157" spans="1:12" x14ac:dyDescent="0.25">
      <c r="F157" s="1" t="s">
        <v>45</v>
      </c>
      <c r="H157" s="1">
        <f>TRUNC(SUM(H156:H156),2)</f>
        <v>112.36</v>
      </c>
    </row>
    <row r="158" spans="1:12" x14ac:dyDescent="0.25">
      <c r="B158" s="17" t="s">
        <v>726</v>
      </c>
      <c r="C158" s="184" t="s">
        <v>648</v>
      </c>
      <c r="D158" s="2" t="s">
        <v>649</v>
      </c>
      <c r="E158" s="2" t="s">
        <v>27</v>
      </c>
      <c r="F158" s="1">
        <v>1</v>
      </c>
      <c r="G158" s="1">
        <f>TRUNC(130.025655,2)</f>
        <v>130.02000000000001</v>
      </c>
      <c r="H158" s="1">
        <f>TRUNC(F158*G158,2)</f>
        <v>130.02000000000001</v>
      </c>
    </row>
    <row r="159" spans="1:12" x14ac:dyDescent="0.25">
      <c r="C159" s="184" t="s">
        <v>429</v>
      </c>
      <c r="D159" s="2" t="s">
        <v>430</v>
      </c>
      <c r="E159" s="2" t="s">
        <v>44</v>
      </c>
      <c r="F159" s="1">
        <v>12.5145</v>
      </c>
      <c r="G159" s="1">
        <f>TRUNC(10.39,2)</f>
        <v>10.39</v>
      </c>
      <c r="H159" s="1">
        <f>TRUNC(F159*G159,2)</f>
        <v>130.02000000000001</v>
      </c>
    </row>
    <row r="160" spans="1:12" x14ac:dyDescent="0.25">
      <c r="F160" s="1" t="s">
        <v>45</v>
      </c>
      <c r="H160" s="1">
        <f>TRUNC(SUM(H159:H159),2)</f>
        <v>130.02000000000001</v>
      </c>
    </row>
    <row r="161" spans="2:8" x14ac:dyDescent="0.25">
      <c r="B161" s="17" t="s">
        <v>727</v>
      </c>
      <c r="C161" s="206" t="s">
        <v>651</v>
      </c>
      <c r="D161" s="2" t="s">
        <v>652</v>
      </c>
      <c r="E161" s="2" t="s">
        <v>27</v>
      </c>
      <c r="F161" s="1">
        <v>1</v>
      </c>
      <c r="G161" s="1">
        <f>H164</f>
        <v>31.17</v>
      </c>
      <c r="H161" s="1">
        <f>TRUNC(F161*G161,2)</f>
        <v>31.17</v>
      </c>
    </row>
    <row r="162" spans="2:8" x14ac:dyDescent="0.25">
      <c r="C162" s="207" t="s">
        <v>429</v>
      </c>
      <c r="D162" s="91" t="s">
        <v>430</v>
      </c>
      <c r="E162" s="91" t="s">
        <v>44</v>
      </c>
      <c r="F162" s="92">
        <v>8.24</v>
      </c>
      <c r="G162" s="92">
        <f>TRUNC(10.39,2)</f>
        <v>10.39</v>
      </c>
      <c r="H162" s="92"/>
    </row>
    <row r="163" spans="2:8" x14ac:dyDescent="0.25">
      <c r="C163" s="184" t="s">
        <v>429</v>
      </c>
      <c r="D163" s="2" t="s">
        <v>430</v>
      </c>
      <c r="E163" s="2" t="s">
        <v>44</v>
      </c>
      <c r="F163" s="1">
        <v>3</v>
      </c>
      <c r="G163" s="1">
        <f>TRUNC(10.39,2)</f>
        <v>10.39</v>
      </c>
      <c r="H163" s="1">
        <f>TRUNC(F163*G163,2)</f>
        <v>31.17</v>
      </c>
    </row>
    <row r="164" spans="2:8" x14ac:dyDescent="0.25">
      <c r="F164" s="1" t="s">
        <v>45</v>
      </c>
      <c r="H164" s="1">
        <f>SUM(H162:H163)</f>
        <v>31.17</v>
      </c>
    </row>
    <row r="165" spans="2:8" ht="45" x14ac:dyDescent="0.25">
      <c r="B165" s="17" t="s">
        <v>728</v>
      </c>
      <c r="C165" s="208" t="s">
        <v>431</v>
      </c>
      <c r="D165" s="2" t="s">
        <v>653</v>
      </c>
      <c r="E165" s="2" t="s">
        <v>21</v>
      </c>
      <c r="F165" s="1">
        <v>1</v>
      </c>
      <c r="G165" s="1">
        <f>H176</f>
        <v>93.509999999999991</v>
      </c>
      <c r="H165" s="1">
        <f>TRUNC(F165*G165,2)</f>
        <v>93.51</v>
      </c>
    </row>
    <row r="166" spans="2:8" x14ac:dyDescent="0.25">
      <c r="C166" s="207" t="s">
        <v>33</v>
      </c>
      <c r="D166" s="91" t="s">
        <v>34</v>
      </c>
      <c r="E166" s="91" t="s">
        <v>29</v>
      </c>
      <c r="F166" s="92">
        <v>0.3</v>
      </c>
      <c r="G166" s="92">
        <f>TRUNC(8.39,2)</f>
        <v>8.39</v>
      </c>
      <c r="H166" s="92"/>
    </row>
    <row r="167" spans="2:8" x14ac:dyDescent="0.25">
      <c r="C167" s="207" t="s">
        <v>35</v>
      </c>
      <c r="D167" s="91" t="s">
        <v>36</v>
      </c>
      <c r="E167" s="91" t="s">
        <v>23</v>
      </c>
      <c r="F167" s="92">
        <v>9.1999999999999993</v>
      </c>
      <c r="G167" s="92">
        <f>TRUNC(2.46,2)</f>
        <v>2.46</v>
      </c>
      <c r="H167" s="92"/>
    </row>
    <row r="168" spans="2:8" x14ac:dyDescent="0.25">
      <c r="C168" s="207" t="s">
        <v>37</v>
      </c>
      <c r="D168" s="91" t="s">
        <v>38</v>
      </c>
      <c r="E168" s="91" t="s">
        <v>39</v>
      </c>
      <c r="F168" s="92">
        <v>0.2</v>
      </c>
      <c r="G168" s="92">
        <f>TRUNC(56.75,2)</f>
        <v>56.75</v>
      </c>
      <c r="H168" s="92"/>
    </row>
    <row r="169" spans="2:8" x14ac:dyDescent="0.25">
      <c r="C169" s="207" t="s">
        <v>40</v>
      </c>
      <c r="D169" s="91" t="s">
        <v>41</v>
      </c>
      <c r="E169" s="91" t="s">
        <v>29</v>
      </c>
      <c r="F169" s="92">
        <v>5</v>
      </c>
      <c r="G169" s="92">
        <f>TRUNC(6.1635,2)</f>
        <v>6.16</v>
      </c>
      <c r="H169" s="92"/>
    </row>
    <row r="170" spans="2:8" x14ac:dyDescent="0.25">
      <c r="C170" s="207" t="s">
        <v>68</v>
      </c>
      <c r="D170" s="91" t="s">
        <v>69</v>
      </c>
      <c r="E170" s="91" t="s">
        <v>44</v>
      </c>
      <c r="F170" s="92">
        <v>2.06</v>
      </c>
      <c r="G170" s="92">
        <f>TRUNC(12.54,2)</f>
        <v>12.54</v>
      </c>
      <c r="H170" s="92"/>
    </row>
    <row r="171" spans="2:8" x14ac:dyDescent="0.25">
      <c r="C171" s="207" t="s">
        <v>385</v>
      </c>
      <c r="D171" s="91" t="s">
        <v>386</v>
      </c>
      <c r="E171" s="91" t="s">
        <v>44</v>
      </c>
      <c r="F171" s="92">
        <v>4.12</v>
      </c>
      <c r="G171" s="92">
        <f>TRUNC(17.3,2)</f>
        <v>17.3</v>
      </c>
      <c r="H171" s="92"/>
    </row>
    <row r="172" spans="2:8" x14ac:dyDescent="0.25">
      <c r="C172" s="207" t="s">
        <v>70</v>
      </c>
      <c r="D172" s="91" t="s">
        <v>71</v>
      </c>
      <c r="E172" s="91" t="s">
        <v>44</v>
      </c>
      <c r="F172" s="92">
        <v>2.06</v>
      </c>
      <c r="G172" s="92">
        <f>TRUNC(18.63,2)</f>
        <v>18.63</v>
      </c>
      <c r="H172" s="92"/>
    </row>
    <row r="173" spans="2:8" x14ac:dyDescent="0.25">
      <c r="C173" s="207" t="s">
        <v>387</v>
      </c>
      <c r="D173" s="91" t="s">
        <v>388</v>
      </c>
      <c r="E173" s="91" t="s">
        <v>44</v>
      </c>
      <c r="F173" s="92">
        <v>1</v>
      </c>
      <c r="G173" s="92">
        <f>TRUNC(96.2468,2)</f>
        <v>96.24</v>
      </c>
      <c r="H173" s="92"/>
    </row>
    <row r="174" spans="2:8" x14ac:dyDescent="0.25">
      <c r="C174" s="184" t="s">
        <v>68</v>
      </c>
      <c r="D174" s="2" t="s">
        <v>69</v>
      </c>
      <c r="E174" s="2" t="s">
        <v>44</v>
      </c>
      <c r="F174" s="1">
        <v>3</v>
      </c>
      <c r="G174" s="1">
        <f>TRUNC(12.54,2)</f>
        <v>12.54</v>
      </c>
      <c r="H174" s="1">
        <f>TRUNC(F174*G174,2)</f>
        <v>37.619999999999997</v>
      </c>
    </row>
    <row r="175" spans="2:8" x14ac:dyDescent="0.25">
      <c r="C175" s="184" t="s">
        <v>70</v>
      </c>
      <c r="D175" s="2" t="s">
        <v>71</v>
      </c>
      <c r="E175" s="2" t="s">
        <v>44</v>
      </c>
      <c r="F175" s="1">
        <v>3</v>
      </c>
      <c r="G175" s="1">
        <f>TRUNC(18.63,2)</f>
        <v>18.63</v>
      </c>
      <c r="H175" s="1">
        <f>TRUNC(F175*G175,2)</f>
        <v>55.89</v>
      </c>
    </row>
    <row r="176" spans="2:8" x14ac:dyDescent="0.25">
      <c r="F176" s="1" t="s">
        <v>45</v>
      </c>
      <c r="H176" s="1">
        <f>SUM(H166:H175)</f>
        <v>93.509999999999991</v>
      </c>
    </row>
    <row r="177" spans="1:8" ht="45" x14ac:dyDescent="0.25">
      <c r="B177" s="17" t="s">
        <v>729</v>
      </c>
      <c r="C177" s="208" t="s">
        <v>432</v>
      </c>
      <c r="D177" s="2" t="s">
        <v>433</v>
      </c>
      <c r="E177" s="2" t="s">
        <v>21</v>
      </c>
      <c r="F177" s="1">
        <v>1</v>
      </c>
      <c r="G177" s="1">
        <f>H191</f>
        <v>328.3</v>
      </c>
      <c r="H177" s="1">
        <f>TRUNC(F177*G177,2)</f>
        <v>328.3</v>
      </c>
    </row>
    <row r="178" spans="1:8" x14ac:dyDescent="0.25">
      <c r="C178" s="207" t="s">
        <v>33</v>
      </c>
      <c r="D178" s="91" t="s">
        <v>34</v>
      </c>
      <c r="E178" s="91" t="s">
        <v>29</v>
      </c>
      <c r="F178" s="92">
        <v>0.3</v>
      </c>
      <c r="G178" s="92">
        <f>TRUNC(8.39,2)</f>
        <v>8.39</v>
      </c>
      <c r="H178" s="92"/>
    </row>
    <row r="179" spans="1:8" x14ac:dyDescent="0.25">
      <c r="C179" s="207" t="s">
        <v>35</v>
      </c>
      <c r="D179" s="91" t="s">
        <v>36</v>
      </c>
      <c r="E179" s="91" t="s">
        <v>23</v>
      </c>
      <c r="F179" s="92">
        <v>9.1999999999999993</v>
      </c>
      <c r="G179" s="92">
        <f>TRUNC(2.46,2)</f>
        <v>2.46</v>
      </c>
      <c r="H179" s="92"/>
    </row>
    <row r="180" spans="1:8" x14ac:dyDescent="0.25">
      <c r="C180" s="207" t="s">
        <v>37</v>
      </c>
      <c r="D180" s="91" t="s">
        <v>38</v>
      </c>
      <c r="E180" s="91" t="s">
        <v>39</v>
      </c>
      <c r="F180" s="92">
        <v>0.2</v>
      </c>
      <c r="G180" s="92">
        <f>TRUNC(56.75,2)</f>
        <v>56.75</v>
      </c>
      <c r="H180" s="92"/>
    </row>
    <row r="181" spans="1:8" x14ac:dyDescent="0.25">
      <c r="C181" s="207" t="s">
        <v>40</v>
      </c>
      <c r="D181" s="91" t="s">
        <v>41</v>
      </c>
      <c r="E181" s="91" t="s">
        <v>29</v>
      </c>
      <c r="F181" s="92">
        <v>5</v>
      </c>
      <c r="G181" s="92">
        <f>TRUNC(6.1635,2)</f>
        <v>6.16</v>
      </c>
      <c r="H181" s="92"/>
    </row>
    <row r="182" spans="1:8" x14ac:dyDescent="0.25">
      <c r="C182" s="207" t="s">
        <v>68</v>
      </c>
      <c r="D182" s="91" t="s">
        <v>69</v>
      </c>
      <c r="E182" s="91" t="s">
        <v>44</v>
      </c>
      <c r="F182" s="92">
        <v>2.06</v>
      </c>
      <c r="G182" s="92">
        <f>TRUNC(12.54,2)</f>
        <v>12.54</v>
      </c>
      <c r="H182" s="92"/>
    </row>
    <row r="183" spans="1:8" x14ac:dyDescent="0.25">
      <c r="C183" s="207" t="s">
        <v>385</v>
      </c>
      <c r="D183" s="91" t="s">
        <v>386</v>
      </c>
      <c r="E183" s="91" t="s">
        <v>44</v>
      </c>
      <c r="F183" s="92">
        <v>4.12</v>
      </c>
      <c r="G183" s="92">
        <f>TRUNC(17.3,2)</f>
        <v>17.3</v>
      </c>
      <c r="H183" s="92"/>
    </row>
    <row r="184" spans="1:8" x14ac:dyDescent="0.25">
      <c r="C184" s="207" t="s">
        <v>70</v>
      </c>
      <c r="D184" s="91" t="s">
        <v>71</v>
      </c>
      <c r="E184" s="91" t="s">
        <v>44</v>
      </c>
      <c r="F184" s="92">
        <v>2.06</v>
      </c>
      <c r="G184" s="92">
        <f>TRUNC(18.63,2)</f>
        <v>18.63</v>
      </c>
      <c r="H184" s="92"/>
    </row>
    <row r="185" spans="1:8" x14ac:dyDescent="0.25">
      <c r="C185" s="207" t="s">
        <v>387</v>
      </c>
      <c r="D185" s="91" t="s">
        <v>388</v>
      </c>
      <c r="E185" s="91" t="s">
        <v>44</v>
      </c>
      <c r="F185" s="92">
        <v>1</v>
      </c>
      <c r="G185" s="92">
        <f>TRUNC(96.2468,2)</f>
        <v>96.24</v>
      </c>
      <c r="H185" s="92"/>
    </row>
    <row r="186" spans="1:8" x14ac:dyDescent="0.25">
      <c r="C186" s="184" t="s">
        <v>68</v>
      </c>
      <c r="D186" s="2" t="s">
        <v>69</v>
      </c>
      <c r="E186" s="2" t="s">
        <v>44</v>
      </c>
      <c r="F186" s="1">
        <v>8</v>
      </c>
      <c r="G186" s="1">
        <f>TRUNC(12.54,2)</f>
        <v>12.54</v>
      </c>
      <c r="H186" s="1">
        <f>TRUNC(F186*G186,2)</f>
        <v>100.32</v>
      </c>
    </row>
    <row r="187" spans="1:8" x14ac:dyDescent="0.25">
      <c r="C187" s="184" t="s">
        <v>70</v>
      </c>
      <c r="D187" s="2" t="s">
        <v>71</v>
      </c>
      <c r="E187" s="2" t="s">
        <v>44</v>
      </c>
      <c r="F187" s="1">
        <v>8</v>
      </c>
      <c r="G187" s="1">
        <f>TRUNC(18.63,2)</f>
        <v>18.63</v>
      </c>
      <c r="H187" s="1">
        <f>TRUNC(F187*G187,2)</f>
        <v>149.04</v>
      </c>
    </row>
    <row r="188" spans="1:8" s="8" customFormat="1" ht="15" customHeight="1" x14ac:dyDescent="0.25">
      <c r="A188" s="2"/>
      <c r="B188" s="180"/>
      <c r="C188" s="178" t="s">
        <v>247</v>
      </c>
      <c r="D188" s="129" t="s">
        <v>345</v>
      </c>
      <c r="E188" s="129" t="s">
        <v>24</v>
      </c>
      <c r="F188" s="130">
        <v>0.16</v>
      </c>
      <c r="G188" s="31">
        <f>TRUNC(50.67394,2)</f>
        <v>50.67</v>
      </c>
      <c r="H188" s="31">
        <f>TRUNC(F188*G188,2)</f>
        <v>8.1</v>
      </c>
    </row>
    <row r="189" spans="1:8" ht="15" customHeight="1" x14ac:dyDescent="0.25">
      <c r="B189" s="181"/>
      <c r="C189" s="204" t="s">
        <v>116</v>
      </c>
      <c r="D189" s="35" t="s">
        <v>271</v>
      </c>
      <c r="E189" s="34" t="s">
        <v>24</v>
      </c>
      <c r="F189" s="57">
        <v>0.16</v>
      </c>
      <c r="G189" s="57">
        <v>305.74</v>
      </c>
      <c r="H189" s="57">
        <f>TRUNC(F189*G189,2)</f>
        <v>48.91</v>
      </c>
    </row>
    <row r="190" spans="1:8" ht="15" customHeight="1" x14ac:dyDescent="0.25">
      <c r="B190" s="181"/>
      <c r="C190" s="204" t="s">
        <v>117</v>
      </c>
      <c r="D190" s="35" t="s">
        <v>272</v>
      </c>
      <c r="E190" s="34" t="s">
        <v>24</v>
      </c>
      <c r="F190" s="57">
        <v>0.16</v>
      </c>
      <c r="G190" s="57">
        <v>137.12</v>
      </c>
      <c r="H190" s="57">
        <f>TRUNC(F190*G190,2)</f>
        <v>21.93</v>
      </c>
    </row>
    <row r="191" spans="1:8" x14ac:dyDescent="0.25">
      <c r="F191" s="1" t="s">
        <v>45</v>
      </c>
      <c r="H191" s="1">
        <f>SUM(H178:H190)</f>
        <v>328.3</v>
      </c>
    </row>
    <row r="192" spans="1:8" ht="30" x14ac:dyDescent="0.25">
      <c r="B192" s="17" t="s">
        <v>730</v>
      </c>
      <c r="C192" s="208" t="s">
        <v>803</v>
      </c>
      <c r="D192" s="2" t="s">
        <v>802</v>
      </c>
      <c r="E192" s="2" t="s">
        <v>21</v>
      </c>
      <c r="F192" s="1">
        <v>1</v>
      </c>
      <c r="G192" s="1">
        <f>TRUNC(12.9162,2)</f>
        <v>12.91</v>
      </c>
      <c r="H192" s="1">
        <f>TRUNC(F192*G192,2)</f>
        <v>12.91</v>
      </c>
    </row>
    <row r="193" spans="2:8" x14ac:dyDescent="0.25">
      <c r="C193" s="184" t="s">
        <v>68</v>
      </c>
      <c r="D193" s="2" t="s">
        <v>69</v>
      </c>
      <c r="E193" s="2" t="s">
        <v>44</v>
      </c>
      <c r="F193" s="1">
        <v>1.03</v>
      </c>
      <c r="G193" s="1">
        <f>TRUNC(12.54,2)</f>
        <v>12.54</v>
      </c>
      <c r="H193" s="1">
        <f>TRUNC(F193*G193,2)</f>
        <v>12.91</v>
      </c>
    </row>
    <row r="194" spans="2:8" x14ac:dyDescent="0.25">
      <c r="F194" s="1" t="s">
        <v>45</v>
      </c>
      <c r="H194" s="1">
        <f>TRUNC(SUM(H193:H193),2)</f>
        <v>12.91</v>
      </c>
    </row>
    <row r="196" spans="2:8" ht="36" customHeight="1" x14ac:dyDescent="0.25">
      <c r="B196" s="181" t="s">
        <v>228</v>
      </c>
      <c r="C196" s="204"/>
      <c r="D196" s="128" t="s">
        <v>434</v>
      </c>
      <c r="E196" s="34"/>
      <c r="F196" s="57"/>
      <c r="G196" s="57"/>
      <c r="H196" s="57"/>
    </row>
    <row r="197" spans="2:8" x14ac:dyDescent="0.25">
      <c r="B197" s="17" t="s">
        <v>731</v>
      </c>
      <c r="C197" s="178" t="s">
        <v>406</v>
      </c>
      <c r="D197" s="2" t="s">
        <v>248</v>
      </c>
      <c r="E197" s="2" t="s">
        <v>24</v>
      </c>
      <c r="F197" s="1">
        <v>1</v>
      </c>
      <c r="G197" s="1">
        <f>TRUNC(43.91508,2)</f>
        <v>43.91</v>
      </c>
      <c r="H197" s="1">
        <f>TRUNC(F197*G197,2)</f>
        <v>43.91</v>
      </c>
    </row>
    <row r="198" spans="2:8" x14ac:dyDescent="0.25">
      <c r="C198" s="178" t="s">
        <v>68</v>
      </c>
      <c r="D198" s="2" t="s">
        <v>69</v>
      </c>
      <c r="E198" s="2" t="s">
        <v>44</v>
      </c>
      <c r="F198" s="1">
        <v>3.5019999999999998</v>
      </c>
      <c r="G198" s="1">
        <f>TRUNC(12.54,2)</f>
        <v>12.54</v>
      </c>
      <c r="H198" s="1">
        <f>TRUNC(F198*G198,2)</f>
        <v>43.91</v>
      </c>
    </row>
    <row r="199" spans="2:8" x14ac:dyDescent="0.25">
      <c r="C199" s="178"/>
      <c r="F199" s="1" t="s">
        <v>45</v>
      </c>
      <c r="H199" s="1">
        <f>TRUNC(SUM(H198:H198),2)</f>
        <v>43.91</v>
      </c>
    </row>
    <row r="200" spans="2:8" x14ac:dyDescent="0.25">
      <c r="B200" s="17" t="s">
        <v>732</v>
      </c>
      <c r="C200" s="178" t="s">
        <v>589</v>
      </c>
      <c r="D200" s="2" t="s">
        <v>590</v>
      </c>
      <c r="E200" s="2" t="s">
        <v>23</v>
      </c>
      <c r="F200" s="1">
        <v>1</v>
      </c>
      <c r="G200" s="1">
        <f>TRUNC(18.08268,2)</f>
        <v>18.079999999999998</v>
      </c>
      <c r="H200" s="1">
        <f>TRUNC(F200*G200,2)</f>
        <v>18.079999999999998</v>
      </c>
    </row>
    <row r="201" spans="2:8" x14ac:dyDescent="0.25">
      <c r="C201" s="178" t="s">
        <v>68</v>
      </c>
      <c r="D201" s="2" t="s">
        <v>69</v>
      </c>
      <c r="E201" s="2" t="s">
        <v>44</v>
      </c>
      <c r="F201" s="1">
        <v>1.4419999999999999</v>
      </c>
      <c r="G201" s="1">
        <f>TRUNC(12.54,2)</f>
        <v>12.54</v>
      </c>
      <c r="H201" s="1">
        <f>TRUNC(F201*G201,2)</f>
        <v>18.079999999999998</v>
      </c>
    </row>
    <row r="202" spans="2:8" x14ac:dyDescent="0.25">
      <c r="C202" s="178"/>
      <c r="F202" s="1" t="s">
        <v>45</v>
      </c>
      <c r="H202" s="1">
        <f>TRUNC(SUM(H201:H201),2)</f>
        <v>18.079999999999998</v>
      </c>
    </row>
    <row r="203" spans="2:8" x14ac:dyDescent="0.25">
      <c r="B203" s="17" t="s">
        <v>733</v>
      </c>
      <c r="C203" s="204" t="s">
        <v>435</v>
      </c>
      <c r="D203" s="2" t="s">
        <v>440</v>
      </c>
      <c r="E203" s="2" t="s">
        <v>24</v>
      </c>
      <c r="F203" s="1">
        <v>1</v>
      </c>
      <c r="G203" s="1">
        <f>H208</f>
        <v>17.170000000000002</v>
      </c>
      <c r="H203" s="1">
        <f>TRUNC(F203*G203,2)</f>
        <v>17.170000000000002</v>
      </c>
    </row>
    <row r="204" spans="2:8" x14ac:dyDescent="0.25">
      <c r="C204" s="204" t="s">
        <v>68</v>
      </c>
      <c r="D204" s="2" t="s">
        <v>69</v>
      </c>
      <c r="E204" s="2" t="s">
        <v>44</v>
      </c>
      <c r="F204" s="1">
        <v>1.09901</v>
      </c>
      <c r="G204" s="1">
        <f>TRUNC(12.54,2)</f>
        <v>12.54</v>
      </c>
      <c r="H204" s="1">
        <f>TRUNC(F204*G204,2)</f>
        <v>13.78</v>
      </c>
    </row>
    <row r="205" spans="2:8" x14ac:dyDescent="0.25">
      <c r="C205" s="204" t="s">
        <v>441</v>
      </c>
      <c r="D205" s="2" t="s">
        <v>442</v>
      </c>
      <c r="E205" s="2" t="s">
        <v>44</v>
      </c>
      <c r="F205" s="1">
        <v>0.13699</v>
      </c>
      <c r="G205" s="1">
        <f>TRUNC(19.45,2)</f>
        <v>19.45</v>
      </c>
      <c r="H205" s="1">
        <f>TRUNC(F205*G205,2)</f>
        <v>2.66</v>
      </c>
    </row>
    <row r="206" spans="2:8" x14ac:dyDescent="0.25">
      <c r="C206" s="204" t="s">
        <v>443</v>
      </c>
      <c r="D206" s="2" t="s">
        <v>444</v>
      </c>
      <c r="E206" s="2" t="s">
        <v>44</v>
      </c>
      <c r="F206" s="1">
        <v>3.3000000000000002E-2</v>
      </c>
      <c r="G206" s="1">
        <f>TRUNC(1.4478,2)</f>
        <v>1.44</v>
      </c>
      <c r="H206" s="1">
        <f>TRUNC(F206*G206,2)</f>
        <v>0.04</v>
      </c>
    </row>
    <row r="207" spans="2:8" x14ac:dyDescent="0.25">
      <c r="C207" s="204" t="s">
        <v>445</v>
      </c>
      <c r="D207" s="2" t="s">
        <v>446</v>
      </c>
      <c r="E207" s="2" t="s">
        <v>44</v>
      </c>
      <c r="F207" s="1">
        <v>0.1</v>
      </c>
      <c r="G207" s="1">
        <f>TRUNC(6.9939,2)</f>
        <v>6.99</v>
      </c>
      <c r="H207" s="1">
        <f>TRUNC(F207*G207,2)</f>
        <v>0.69</v>
      </c>
    </row>
    <row r="208" spans="2:8" x14ac:dyDescent="0.25">
      <c r="C208" s="204"/>
      <c r="F208" s="1" t="s">
        <v>45</v>
      </c>
      <c r="H208" s="1">
        <f>TRUNC(SUM(H204:H207),2)</f>
        <v>17.170000000000002</v>
      </c>
    </row>
    <row r="209" spans="2:8" x14ac:dyDescent="0.25">
      <c r="B209" s="17" t="s">
        <v>734</v>
      </c>
      <c r="C209" s="204" t="s">
        <v>436</v>
      </c>
      <c r="D209" s="2" t="s">
        <v>354</v>
      </c>
      <c r="E209" s="2" t="s">
        <v>24</v>
      </c>
      <c r="F209" s="1">
        <v>1</v>
      </c>
      <c r="G209" s="1">
        <f>H213</f>
        <v>361.8</v>
      </c>
      <c r="H209" s="1">
        <f>TRUNC(F209*G209,2)</f>
        <v>361.8</v>
      </c>
    </row>
    <row r="210" spans="2:8" x14ac:dyDescent="0.25">
      <c r="C210" s="204" t="s">
        <v>447</v>
      </c>
      <c r="D210" s="2" t="s">
        <v>448</v>
      </c>
      <c r="E210" s="2" t="s">
        <v>24</v>
      </c>
      <c r="F210" s="1">
        <v>1</v>
      </c>
      <c r="G210" s="1">
        <f>TRUNC(90.0677,2)</f>
        <v>90.06</v>
      </c>
      <c r="H210" s="1">
        <f>TRUNC(F210*G210,2)</f>
        <v>90.06</v>
      </c>
    </row>
    <row r="211" spans="2:8" x14ac:dyDescent="0.25">
      <c r="C211" s="204" t="s">
        <v>398</v>
      </c>
      <c r="D211" s="2" t="s">
        <v>399</v>
      </c>
      <c r="E211" s="2" t="s">
        <v>24</v>
      </c>
      <c r="F211" s="1">
        <v>1</v>
      </c>
      <c r="G211" s="1">
        <f>TRUNC(62.5225,2)</f>
        <v>62.52</v>
      </c>
      <c r="H211" s="1">
        <f>TRUNC(F211*G211,2)</f>
        <v>62.52</v>
      </c>
    </row>
    <row r="212" spans="2:8" x14ac:dyDescent="0.25">
      <c r="C212" s="204" t="s">
        <v>449</v>
      </c>
      <c r="D212" s="2" t="s">
        <v>450</v>
      </c>
      <c r="E212" s="2" t="s">
        <v>24</v>
      </c>
      <c r="F212" s="1">
        <v>1</v>
      </c>
      <c r="G212" s="1">
        <f>TRUNC(209.2239,2)</f>
        <v>209.22</v>
      </c>
      <c r="H212" s="1">
        <f>TRUNC(F212*G212,2)</f>
        <v>209.22</v>
      </c>
    </row>
    <row r="213" spans="2:8" x14ac:dyDescent="0.25">
      <c r="C213" s="204"/>
      <c r="F213" s="1" t="s">
        <v>45</v>
      </c>
      <c r="H213" s="1">
        <f>TRUNC(SUM(H210:H212),2)</f>
        <v>361.8</v>
      </c>
    </row>
    <row r="214" spans="2:8" x14ac:dyDescent="0.25">
      <c r="B214" s="17" t="s">
        <v>735</v>
      </c>
      <c r="C214" s="204" t="s">
        <v>437</v>
      </c>
      <c r="D214" s="2" t="s">
        <v>451</v>
      </c>
      <c r="E214" s="2" t="s">
        <v>24</v>
      </c>
      <c r="F214" s="1">
        <v>1</v>
      </c>
      <c r="G214" s="1">
        <f>H220</f>
        <v>389.98</v>
      </c>
      <c r="H214" s="1">
        <f t="shared" ref="H214:H219" si="6">TRUNC(F214*G214,2)</f>
        <v>389.98</v>
      </c>
    </row>
    <row r="215" spans="2:8" x14ac:dyDescent="0.25">
      <c r="C215" s="204" t="s">
        <v>347</v>
      </c>
      <c r="D215" s="2" t="s">
        <v>348</v>
      </c>
      <c r="E215" s="2" t="s">
        <v>118</v>
      </c>
      <c r="F215" s="1">
        <v>1.2088650000000001</v>
      </c>
      <c r="G215" s="1">
        <f>TRUNC(52.215,2)</f>
        <v>52.21</v>
      </c>
      <c r="H215" s="1">
        <f t="shared" si="6"/>
        <v>63.11</v>
      </c>
    </row>
    <row r="216" spans="2:8" x14ac:dyDescent="0.25">
      <c r="C216" s="204" t="s">
        <v>356</v>
      </c>
      <c r="D216" s="2" t="s">
        <v>357</v>
      </c>
      <c r="E216" s="2" t="s">
        <v>29</v>
      </c>
      <c r="F216" s="1">
        <v>409.5</v>
      </c>
      <c r="G216" s="1">
        <f>TRUNC(0.35,2)</f>
        <v>0.35</v>
      </c>
      <c r="H216" s="1">
        <f t="shared" si="6"/>
        <v>143.32</v>
      </c>
    </row>
    <row r="217" spans="2:8" x14ac:dyDescent="0.25">
      <c r="C217" s="204" t="s">
        <v>358</v>
      </c>
      <c r="D217" s="2" t="s">
        <v>359</v>
      </c>
      <c r="E217" s="2" t="s">
        <v>24</v>
      </c>
      <c r="F217" s="1">
        <v>0.61949999999999994</v>
      </c>
      <c r="G217" s="1">
        <f>TRUNC(50,2)</f>
        <v>50</v>
      </c>
      <c r="H217" s="1">
        <f t="shared" si="6"/>
        <v>30.97</v>
      </c>
    </row>
    <row r="218" spans="2:8" x14ac:dyDescent="0.25">
      <c r="C218" s="204" t="s">
        <v>447</v>
      </c>
      <c r="D218" s="2" t="s">
        <v>448</v>
      </c>
      <c r="E218" s="2" t="s">
        <v>24</v>
      </c>
      <c r="F218" s="1">
        <v>1</v>
      </c>
      <c r="G218" s="1">
        <f>TRUNC(90.0677,2)</f>
        <v>90.06</v>
      </c>
      <c r="H218" s="1">
        <f t="shared" si="6"/>
        <v>90.06</v>
      </c>
    </row>
    <row r="219" spans="2:8" x14ac:dyDescent="0.25">
      <c r="C219" s="204" t="s">
        <v>398</v>
      </c>
      <c r="D219" s="2" t="s">
        <v>399</v>
      </c>
      <c r="E219" s="2" t="s">
        <v>24</v>
      </c>
      <c r="F219" s="1">
        <v>1</v>
      </c>
      <c r="G219" s="1">
        <f>TRUNC(62.5225,2)</f>
        <v>62.52</v>
      </c>
      <c r="H219" s="1">
        <f t="shared" si="6"/>
        <v>62.52</v>
      </c>
    </row>
    <row r="220" spans="2:8" x14ac:dyDescent="0.25">
      <c r="C220" s="204"/>
      <c r="F220" s="1" t="s">
        <v>45</v>
      </c>
      <c r="H220" s="1">
        <f>TRUNC(SUM(H215:H219),2)</f>
        <v>389.98</v>
      </c>
    </row>
    <row r="221" spans="2:8" ht="90" x14ac:dyDescent="0.25">
      <c r="B221" s="17" t="s">
        <v>736</v>
      </c>
      <c r="C221" s="204" t="s">
        <v>438</v>
      </c>
      <c r="D221" s="198" t="s">
        <v>367</v>
      </c>
      <c r="E221" s="2" t="s">
        <v>24</v>
      </c>
      <c r="F221" s="1">
        <v>1</v>
      </c>
      <c r="G221" s="1">
        <f>H228</f>
        <v>417.03999999999996</v>
      </c>
      <c r="H221" s="1">
        <f t="shared" ref="H221:H227" si="7">TRUNC(F221*G221,2)</f>
        <v>417.04</v>
      </c>
    </row>
    <row r="222" spans="2:8" x14ac:dyDescent="0.25">
      <c r="C222" s="204" t="s">
        <v>347</v>
      </c>
      <c r="D222" s="2" t="s">
        <v>348</v>
      </c>
      <c r="E222" s="2" t="s">
        <v>118</v>
      </c>
      <c r="F222" s="1">
        <v>1.2088650000000001</v>
      </c>
      <c r="G222" s="1">
        <f>TRUNC(52.215,2)</f>
        <v>52.21</v>
      </c>
      <c r="H222" s="1">
        <f t="shared" si="7"/>
        <v>63.11</v>
      </c>
    </row>
    <row r="223" spans="2:8" x14ac:dyDescent="0.25">
      <c r="C223" s="204" t="s">
        <v>356</v>
      </c>
      <c r="D223" s="2" t="s">
        <v>357</v>
      </c>
      <c r="E223" s="2" t="s">
        <v>29</v>
      </c>
      <c r="F223" s="1">
        <v>409.5</v>
      </c>
      <c r="G223" s="1">
        <f>TRUNC(0.35,2)</f>
        <v>0.35</v>
      </c>
      <c r="H223" s="1">
        <f t="shared" si="7"/>
        <v>143.32</v>
      </c>
    </row>
    <row r="224" spans="2:8" x14ac:dyDescent="0.25">
      <c r="C224" s="204" t="s">
        <v>358</v>
      </c>
      <c r="D224" s="2" t="s">
        <v>359</v>
      </c>
      <c r="E224" s="2" t="s">
        <v>24</v>
      </c>
      <c r="F224" s="1">
        <v>0.61949999999999994</v>
      </c>
      <c r="G224" s="1">
        <f>TRUNC(50,2)</f>
        <v>50</v>
      </c>
      <c r="H224" s="1">
        <f t="shared" si="7"/>
        <v>30.97</v>
      </c>
    </row>
    <row r="225" spans="2:8" ht="15" customHeight="1" x14ac:dyDescent="0.25">
      <c r="B225" s="181"/>
      <c r="C225" s="204" t="s">
        <v>250</v>
      </c>
      <c r="D225" s="35" t="s">
        <v>251</v>
      </c>
      <c r="E225" s="34" t="s">
        <v>29</v>
      </c>
      <c r="F225" s="57">
        <v>2.02</v>
      </c>
      <c r="G225" s="57">
        <v>13.4</v>
      </c>
      <c r="H225" s="57">
        <f t="shared" si="7"/>
        <v>27.06</v>
      </c>
    </row>
    <row r="226" spans="2:8" x14ac:dyDescent="0.25">
      <c r="C226" s="204" t="s">
        <v>447</v>
      </c>
      <c r="D226" s="2" t="s">
        <v>448</v>
      </c>
      <c r="E226" s="2" t="s">
        <v>24</v>
      </c>
      <c r="F226" s="1">
        <v>1</v>
      </c>
      <c r="G226" s="1">
        <f>TRUNC(90.0677,2)</f>
        <v>90.06</v>
      </c>
      <c r="H226" s="1">
        <f t="shared" si="7"/>
        <v>90.06</v>
      </c>
    </row>
    <row r="227" spans="2:8" x14ac:dyDescent="0.25">
      <c r="C227" s="204" t="s">
        <v>398</v>
      </c>
      <c r="D227" s="2" t="s">
        <v>399</v>
      </c>
      <c r="E227" s="2" t="s">
        <v>24</v>
      </c>
      <c r="F227" s="1">
        <v>1</v>
      </c>
      <c r="G227" s="1">
        <f>TRUNC(62.5225,2)</f>
        <v>62.52</v>
      </c>
      <c r="H227" s="1">
        <f t="shared" si="7"/>
        <v>62.52</v>
      </c>
    </row>
    <row r="228" spans="2:8" x14ac:dyDescent="0.25">
      <c r="C228" s="204"/>
      <c r="F228" s="1" t="s">
        <v>45</v>
      </c>
      <c r="H228" s="1">
        <f>SUM(H222:H227)</f>
        <v>417.03999999999996</v>
      </c>
    </row>
    <row r="229" spans="2:8" x14ac:dyDescent="0.25">
      <c r="B229" s="17" t="s">
        <v>737</v>
      </c>
      <c r="C229" s="204" t="s">
        <v>439</v>
      </c>
      <c r="D229" s="2" t="s">
        <v>452</v>
      </c>
      <c r="E229" s="2" t="s">
        <v>21</v>
      </c>
      <c r="F229" s="1">
        <v>1</v>
      </c>
      <c r="G229" s="1">
        <f>H238</f>
        <v>59.97</v>
      </c>
      <c r="H229" s="1">
        <f t="shared" ref="H229:H237" si="8">TRUNC(F229*G229,2)</f>
        <v>59.97</v>
      </c>
    </row>
    <row r="230" spans="2:8" x14ac:dyDescent="0.25">
      <c r="C230" s="204" t="s">
        <v>33</v>
      </c>
      <c r="D230" s="2" t="s">
        <v>34</v>
      </c>
      <c r="E230" s="2" t="s">
        <v>29</v>
      </c>
      <c r="F230" s="1">
        <v>0.2</v>
      </c>
      <c r="G230" s="1">
        <f>TRUNC(8.39,2)</f>
        <v>8.39</v>
      </c>
      <c r="H230" s="1">
        <f t="shared" si="8"/>
        <v>1.67</v>
      </c>
    </row>
    <row r="231" spans="2:8" x14ac:dyDescent="0.25">
      <c r="C231" s="204" t="s">
        <v>361</v>
      </c>
      <c r="D231" s="2" t="s">
        <v>362</v>
      </c>
      <c r="E231" s="2" t="s">
        <v>23</v>
      </c>
      <c r="F231" s="1">
        <v>0.32</v>
      </c>
      <c r="G231" s="1">
        <f>TRUNC(3.6024,2)</f>
        <v>3.6</v>
      </c>
      <c r="H231" s="1">
        <f t="shared" si="8"/>
        <v>1.1499999999999999</v>
      </c>
    </row>
    <row r="232" spans="2:8" x14ac:dyDescent="0.25">
      <c r="C232" s="204" t="s">
        <v>241</v>
      </c>
      <c r="D232" s="2" t="s">
        <v>242</v>
      </c>
      <c r="E232" s="2" t="s">
        <v>23</v>
      </c>
      <c r="F232" s="1">
        <v>0.23</v>
      </c>
      <c r="G232" s="1">
        <f>TRUNC(5.3,2)</f>
        <v>5.3</v>
      </c>
      <c r="H232" s="1">
        <f t="shared" si="8"/>
        <v>1.21</v>
      </c>
    </row>
    <row r="233" spans="2:8" x14ac:dyDescent="0.25">
      <c r="C233" s="204" t="s">
        <v>363</v>
      </c>
      <c r="D233" s="2" t="s">
        <v>364</v>
      </c>
      <c r="E233" s="2" t="s">
        <v>21</v>
      </c>
      <c r="F233" s="1">
        <v>5.5E-2</v>
      </c>
      <c r="G233" s="1">
        <f>TRUNC(30.33,2)</f>
        <v>30.33</v>
      </c>
      <c r="H233" s="1">
        <f t="shared" si="8"/>
        <v>1.66</v>
      </c>
    </row>
    <row r="234" spans="2:8" x14ac:dyDescent="0.25">
      <c r="C234" s="204" t="s">
        <v>365</v>
      </c>
      <c r="D234" s="2" t="s">
        <v>366</v>
      </c>
      <c r="E234" s="2" t="s">
        <v>21</v>
      </c>
      <c r="F234" s="1">
        <v>0.22</v>
      </c>
      <c r="G234" s="1">
        <f>TRUNC(14.67,2)</f>
        <v>14.67</v>
      </c>
      <c r="H234" s="1">
        <f t="shared" si="8"/>
        <v>3.22</v>
      </c>
    </row>
    <row r="235" spans="2:8" x14ac:dyDescent="0.25">
      <c r="C235" s="204" t="s">
        <v>68</v>
      </c>
      <c r="D235" s="2" t="s">
        <v>69</v>
      </c>
      <c r="E235" s="2" t="s">
        <v>44</v>
      </c>
      <c r="F235" s="1">
        <v>1.03</v>
      </c>
      <c r="G235" s="1">
        <f>TRUNC(12.54,2)</f>
        <v>12.54</v>
      </c>
      <c r="H235" s="1">
        <f t="shared" si="8"/>
        <v>12.91</v>
      </c>
    </row>
    <row r="236" spans="2:8" x14ac:dyDescent="0.25">
      <c r="C236" s="204" t="s">
        <v>411</v>
      </c>
      <c r="D236" s="2" t="s">
        <v>412</v>
      </c>
      <c r="E236" s="2" t="s">
        <v>44</v>
      </c>
      <c r="F236" s="1">
        <v>2.06</v>
      </c>
      <c r="G236" s="1">
        <f>TRUNC(17.3,2)</f>
        <v>17.3</v>
      </c>
      <c r="H236" s="1">
        <f t="shared" si="8"/>
        <v>35.630000000000003</v>
      </c>
    </row>
    <row r="237" spans="2:8" x14ac:dyDescent="0.25">
      <c r="C237" s="204" t="s">
        <v>453</v>
      </c>
      <c r="D237" s="2" t="s">
        <v>454</v>
      </c>
      <c r="E237" s="2" t="s">
        <v>21</v>
      </c>
      <c r="F237" s="1">
        <v>1</v>
      </c>
      <c r="G237" s="1">
        <f>TRUNC(2.5211,2)</f>
        <v>2.52</v>
      </c>
      <c r="H237" s="1">
        <f t="shared" si="8"/>
        <v>2.52</v>
      </c>
    </row>
    <row r="238" spans="2:8" x14ac:dyDescent="0.25">
      <c r="C238" s="204"/>
      <c r="F238" s="1" t="s">
        <v>45</v>
      </c>
      <c r="H238" s="1">
        <f>TRUNC(SUM(H230:H237),2)</f>
        <v>59.97</v>
      </c>
    </row>
    <row r="239" spans="2:8" x14ac:dyDescent="0.25">
      <c r="B239" s="17" t="s">
        <v>738</v>
      </c>
      <c r="C239" s="204" t="s">
        <v>483</v>
      </c>
      <c r="D239" s="2" t="s">
        <v>139</v>
      </c>
      <c r="E239" s="2" t="s">
        <v>21</v>
      </c>
      <c r="F239" s="1">
        <v>1</v>
      </c>
      <c r="G239" s="1">
        <f>H250</f>
        <v>52.22</v>
      </c>
      <c r="H239" s="1">
        <f t="shared" ref="H239:H249" si="9">TRUNC(F239*G239,2)</f>
        <v>52.22</v>
      </c>
    </row>
    <row r="240" spans="2:8" x14ac:dyDescent="0.25">
      <c r="C240" s="204" t="s">
        <v>484</v>
      </c>
      <c r="D240" s="2" t="s">
        <v>137</v>
      </c>
      <c r="E240" s="2" t="s">
        <v>29</v>
      </c>
      <c r="F240" s="1">
        <v>3.4000000000000002E-2</v>
      </c>
      <c r="G240" s="1">
        <f>TRUNC(12.49,2)</f>
        <v>12.49</v>
      </c>
      <c r="H240" s="1">
        <f t="shared" si="9"/>
        <v>0.42</v>
      </c>
    </row>
    <row r="241" spans="2:8" x14ac:dyDescent="0.25">
      <c r="C241" s="204" t="s">
        <v>485</v>
      </c>
      <c r="D241" s="2" t="s">
        <v>95</v>
      </c>
      <c r="E241" s="2" t="s">
        <v>23</v>
      </c>
      <c r="F241" s="1">
        <v>1.008</v>
      </c>
      <c r="G241" s="1">
        <f>TRUNC(8.07,2)</f>
        <v>8.07</v>
      </c>
      <c r="H241" s="1">
        <f t="shared" si="9"/>
        <v>8.1300000000000008</v>
      </c>
    </row>
    <row r="242" spans="2:8" x14ac:dyDescent="0.25">
      <c r="C242" s="204" t="s">
        <v>486</v>
      </c>
      <c r="D242" s="2" t="s">
        <v>138</v>
      </c>
      <c r="E242" s="2" t="s">
        <v>29</v>
      </c>
      <c r="F242" s="1">
        <v>2.5999999999999999E-2</v>
      </c>
      <c r="G242" s="1">
        <f>TRUNC(10.31,2)</f>
        <v>10.31</v>
      </c>
      <c r="H242" s="1">
        <f t="shared" si="9"/>
        <v>0.26</v>
      </c>
    </row>
    <row r="243" spans="2:8" x14ac:dyDescent="0.25">
      <c r="C243" s="204" t="s">
        <v>487</v>
      </c>
      <c r="D243" s="2" t="s">
        <v>86</v>
      </c>
      <c r="E243" s="2" t="s">
        <v>23</v>
      </c>
      <c r="F243" s="1">
        <v>0.56699999999999995</v>
      </c>
      <c r="G243" s="1">
        <f>TRUNC(0.97,2)</f>
        <v>0.97</v>
      </c>
      <c r="H243" s="1">
        <f t="shared" si="9"/>
        <v>0.54</v>
      </c>
    </row>
    <row r="244" spans="2:8" x14ac:dyDescent="0.25">
      <c r="C244" s="204" t="s">
        <v>488</v>
      </c>
      <c r="D244" s="2" t="s">
        <v>64</v>
      </c>
      <c r="E244" s="2" t="s">
        <v>23</v>
      </c>
      <c r="F244" s="1">
        <v>0.60499999999999998</v>
      </c>
      <c r="G244" s="1">
        <f>TRUNC(6.68,2)</f>
        <v>6.68</v>
      </c>
      <c r="H244" s="1">
        <f t="shared" si="9"/>
        <v>4.04</v>
      </c>
    </row>
    <row r="245" spans="2:8" x14ac:dyDescent="0.25">
      <c r="C245" s="204" t="s">
        <v>489</v>
      </c>
      <c r="D245" s="2" t="s">
        <v>65</v>
      </c>
      <c r="E245" s="2" t="s">
        <v>49</v>
      </c>
      <c r="F245" s="1">
        <v>1.7000000000000001E-2</v>
      </c>
      <c r="G245" s="1">
        <f>TRUNC(5.75,2)</f>
        <v>5.75</v>
      </c>
      <c r="H245" s="1">
        <f t="shared" si="9"/>
        <v>0.09</v>
      </c>
    </row>
    <row r="246" spans="2:8" x14ac:dyDescent="0.25">
      <c r="C246" s="204" t="s">
        <v>490</v>
      </c>
      <c r="D246" s="2" t="s">
        <v>88</v>
      </c>
      <c r="E246" s="2" t="s">
        <v>44</v>
      </c>
      <c r="F246" s="1">
        <v>1.145</v>
      </c>
      <c r="G246" s="1">
        <f>TRUNC(23.48,2)</f>
        <v>23.48</v>
      </c>
      <c r="H246" s="1">
        <f t="shared" si="9"/>
        <v>26.88</v>
      </c>
    </row>
    <row r="247" spans="2:8" x14ac:dyDescent="0.25">
      <c r="C247" s="204" t="s">
        <v>491</v>
      </c>
      <c r="D247" s="2" t="s">
        <v>80</v>
      </c>
      <c r="E247" s="2" t="s">
        <v>44</v>
      </c>
      <c r="F247" s="1">
        <v>0.47099999999999997</v>
      </c>
      <c r="G247" s="1">
        <f>TRUNC(23.52,2)</f>
        <v>23.52</v>
      </c>
      <c r="H247" s="1">
        <f t="shared" si="9"/>
        <v>11.07</v>
      </c>
    </row>
    <row r="248" spans="2:8" x14ac:dyDescent="0.25">
      <c r="C248" s="204" t="s">
        <v>492</v>
      </c>
      <c r="D248" s="2" t="s">
        <v>493</v>
      </c>
      <c r="E248" s="2" t="s">
        <v>47</v>
      </c>
      <c r="F248" s="1">
        <v>1.4E-2</v>
      </c>
      <c r="G248" s="1">
        <f>TRUNC(24.99,2)</f>
        <v>24.99</v>
      </c>
      <c r="H248" s="1">
        <f t="shared" si="9"/>
        <v>0.34</v>
      </c>
    </row>
    <row r="249" spans="2:8" x14ac:dyDescent="0.25">
      <c r="C249" s="204" t="s">
        <v>494</v>
      </c>
      <c r="D249" s="2" t="s">
        <v>495</v>
      </c>
      <c r="E249" s="2" t="s">
        <v>48</v>
      </c>
      <c r="F249" s="1">
        <v>1.7000000000000001E-2</v>
      </c>
      <c r="G249" s="1">
        <f>TRUNC(26.64,2)</f>
        <v>26.64</v>
      </c>
      <c r="H249" s="1">
        <f t="shared" si="9"/>
        <v>0.45</v>
      </c>
    </row>
    <row r="250" spans="2:8" x14ac:dyDescent="0.25">
      <c r="C250" s="204"/>
      <c r="F250" s="1" t="s">
        <v>45</v>
      </c>
      <c r="H250" s="1">
        <f>TRUNC(SUM(H240:H249),2)</f>
        <v>52.22</v>
      </c>
    </row>
    <row r="251" spans="2:8" ht="15.75" thickBot="1" x14ac:dyDescent="0.3">
      <c r="C251" s="204"/>
    </row>
    <row r="252" spans="2:8" ht="15" customHeight="1" x14ac:dyDescent="0.25">
      <c r="B252" s="181" t="s">
        <v>739</v>
      </c>
      <c r="C252" s="209" t="s">
        <v>455</v>
      </c>
      <c r="D252" s="131" t="s">
        <v>371</v>
      </c>
      <c r="E252" s="132" t="s">
        <v>29</v>
      </c>
      <c r="F252" s="133">
        <v>1</v>
      </c>
      <c r="G252" s="133">
        <f>H256</f>
        <v>3.68</v>
      </c>
      <c r="H252" s="134">
        <f>TRUNC(F252*G252,2)</f>
        <v>3.68</v>
      </c>
    </row>
    <row r="253" spans="2:8" ht="15" customHeight="1" x14ac:dyDescent="0.25">
      <c r="B253" s="181"/>
      <c r="C253" s="210" t="s">
        <v>372</v>
      </c>
      <c r="D253" s="35" t="s">
        <v>373</v>
      </c>
      <c r="E253" s="34" t="s">
        <v>29</v>
      </c>
      <c r="F253" s="57">
        <v>0.55000000000000004</v>
      </c>
      <c r="G253" s="57">
        <f>TRUNC(3.206,2)</f>
        <v>3.2</v>
      </c>
      <c r="H253" s="135">
        <f>TRUNC(F253*G253,2)</f>
        <v>1.76</v>
      </c>
    </row>
    <row r="254" spans="2:8" ht="15" customHeight="1" x14ac:dyDescent="0.25">
      <c r="B254" s="181"/>
      <c r="C254" s="210" t="s">
        <v>374</v>
      </c>
      <c r="D254" s="35" t="s">
        <v>375</v>
      </c>
      <c r="E254" s="34" t="s">
        <v>29</v>
      </c>
      <c r="F254" s="57">
        <v>0.55000000000000004</v>
      </c>
      <c r="G254" s="57">
        <f>TRUNC(3.207,2)</f>
        <v>3.2</v>
      </c>
      <c r="H254" s="135">
        <f>TRUNC(F254*G254,2)</f>
        <v>1.76</v>
      </c>
    </row>
    <row r="255" spans="2:8" ht="15" customHeight="1" x14ac:dyDescent="0.25">
      <c r="B255" s="181"/>
      <c r="C255" s="210" t="s">
        <v>108</v>
      </c>
      <c r="D255" s="35" t="s">
        <v>109</v>
      </c>
      <c r="E255" s="34" t="s">
        <v>29</v>
      </c>
      <c r="F255" s="57">
        <v>0.03</v>
      </c>
      <c r="G255" s="57">
        <f>TRUNC(5.4325,2)</f>
        <v>5.43</v>
      </c>
      <c r="H255" s="135">
        <f>TRUNC(F255*G255,2)</f>
        <v>0.16</v>
      </c>
    </row>
    <row r="256" spans="2:8" ht="15" customHeight="1" x14ac:dyDescent="0.25">
      <c r="B256" s="181"/>
      <c r="C256" s="210"/>
      <c r="D256" s="35"/>
      <c r="E256" s="34"/>
      <c r="F256" s="57" t="s">
        <v>45</v>
      </c>
      <c r="G256" s="57"/>
      <c r="H256" s="135">
        <f>TRUNC(SUM(H253:H255),2)</f>
        <v>3.68</v>
      </c>
    </row>
    <row r="257" spans="2:8" ht="15" customHeight="1" x14ac:dyDescent="0.25">
      <c r="B257" s="181" t="s">
        <v>739</v>
      </c>
      <c r="C257" s="210" t="s">
        <v>456</v>
      </c>
      <c r="D257" s="35" t="s">
        <v>461</v>
      </c>
      <c r="E257" s="34" t="s">
        <v>29</v>
      </c>
      <c r="F257" s="57">
        <v>1</v>
      </c>
      <c r="G257" s="57">
        <f>TRUNC(3.380872,2)</f>
        <v>3.38</v>
      </c>
      <c r="H257" s="135">
        <f>TRUNC(F257*G257,2)</f>
        <v>3.38</v>
      </c>
    </row>
    <row r="258" spans="2:8" ht="15" customHeight="1" x14ac:dyDescent="0.25">
      <c r="B258" s="181"/>
      <c r="C258" s="210" t="s">
        <v>68</v>
      </c>
      <c r="D258" s="35" t="s">
        <v>69</v>
      </c>
      <c r="E258" s="34" t="s">
        <v>44</v>
      </c>
      <c r="F258" s="57">
        <v>0.1133</v>
      </c>
      <c r="G258" s="57">
        <f>TRUNC(12.54,2)</f>
        <v>12.54</v>
      </c>
      <c r="H258" s="135">
        <f>TRUNC(F258*G258,2)</f>
        <v>1.42</v>
      </c>
    </row>
    <row r="259" spans="2:8" ht="15" customHeight="1" x14ac:dyDescent="0.25">
      <c r="B259" s="181"/>
      <c r="C259" s="210" t="s">
        <v>462</v>
      </c>
      <c r="D259" s="35" t="s">
        <v>463</v>
      </c>
      <c r="E259" s="34" t="s">
        <v>44</v>
      </c>
      <c r="F259" s="57">
        <v>0.1133</v>
      </c>
      <c r="G259" s="57">
        <f>TRUNC(17.3,2)</f>
        <v>17.3</v>
      </c>
      <c r="H259" s="135">
        <f>TRUNC(F259*G259,2)</f>
        <v>1.96</v>
      </c>
    </row>
    <row r="260" spans="2:8" ht="15" customHeight="1" thickBot="1" x14ac:dyDescent="0.3">
      <c r="B260" s="181"/>
      <c r="C260" s="211"/>
      <c r="D260" s="136"/>
      <c r="E260" s="137"/>
      <c r="F260" s="138" t="s">
        <v>45</v>
      </c>
      <c r="G260" s="138"/>
      <c r="H260" s="139">
        <f>TRUNC(SUM(H258:H259),2)</f>
        <v>3.38</v>
      </c>
    </row>
    <row r="261" spans="2:8" ht="15" customHeight="1" thickBot="1" x14ac:dyDescent="0.3">
      <c r="B261" s="181"/>
      <c r="C261" s="204"/>
      <c r="D261" s="115"/>
      <c r="E261" s="34"/>
      <c r="F261" s="57"/>
      <c r="G261" s="57"/>
      <c r="H261" s="57"/>
    </row>
    <row r="262" spans="2:8" ht="15" customHeight="1" x14ac:dyDescent="0.25">
      <c r="B262" s="181" t="s">
        <v>740</v>
      </c>
      <c r="C262" s="209" t="s">
        <v>457</v>
      </c>
      <c r="D262" s="131" t="s">
        <v>368</v>
      </c>
      <c r="E262" s="132" t="s">
        <v>29</v>
      </c>
      <c r="F262" s="133">
        <v>1</v>
      </c>
      <c r="G262" s="133">
        <f>H265</f>
        <v>3.43</v>
      </c>
      <c r="H262" s="134">
        <f>TRUNC(F262*G262,2)</f>
        <v>3.43</v>
      </c>
    </row>
    <row r="263" spans="2:8" ht="15" customHeight="1" x14ac:dyDescent="0.25">
      <c r="B263" s="181"/>
      <c r="C263" s="210" t="s">
        <v>369</v>
      </c>
      <c r="D263" s="35" t="s">
        <v>370</v>
      </c>
      <c r="E263" s="34" t="s">
        <v>29</v>
      </c>
      <c r="F263" s="57">
        <v>1.1000000000000001</v>
      </c>
      <c r="G263" s="57">
        <f>TRUNC(2.989,2)</f>
        <v>2.98</v>
      </c>
      <c r="H263" s="135">
        <f>TRUNC(F263*G263,2)</f>
        <v>3.27</v>
      </c>
    </row>
    <row r="264" spans="2:8" ht="15" customHeight="1" x14ac:dyDescent="0.25">
      <c r="B264" s="181"/>
      <c r="C264" s="210" t="s">
        <v>108</v>
      </c>
      <c r="D264" s="35" t="s">
        <v>109</v>
      </c>
      <c r="E264" s="34" t="s">
        <v>29</v>
      </c>
      <c r="F264" s="57">
        <v>0.03</v>
      </c>
      <c r="G264" s="57">
        <f>TRUNC(5.4325,2)</f>
        <v>5.43</v>
      </c>
      <c r="H264" s="135">
        <f>TRUNC(F264*G264,2)</f>
        <v>0.16</v>
      </c>
    </row>
    <row r="265" spans="2:8" ht="15" customHeight="1" x14ac:dyDescent="0.25">
      <c r="B265" s="181"/>
      <c r="C265" s="210"/>
      <c r="D265" s="35"/>
      <c r="E265" s="34"/>
      <c r="F265" s="57" t="s">
        <v>45</v>
      </c>
      <c r="G265" s="57"/>
      <c r="H265" s="135">
        <f>TRUNC(SUM(H263:H264),2)</f>
        <v>3.43</v>
      </c>
    </row>
    <row r="266" spans="2:8" ht="15" customHeight="1" x14ac:dyDescent="0.25">
      <c r="B266" s="181" t="s">
        <v>740</v>
      </c>
      <c r="C266" s="210" t="s">
        <v>458</v>
      </c>
      <c r="D266" s="35" t="s">
        <v>464</v>
      </c>
      <c r="E266" s="34" t="s">
        <v>29</v>
      </c>
      <c r="F266" s="57">
        <v>1</v>
      </c>
      <c r="G266" s="57">
        <f>H269</f>
        <v>3.67</v>
      </c>
      <c r="H266" s="135">
        <f>TRUNC(F266*G266,2)</f>
        <v>3.67</v>
      </c>
    </row>
    <row r="267" spans="2:8" ht="15" customHeight="1" x14ac:dyDescent="0.25">
      <c r="B267" s="181"/>
      <c r="C267" s="210" t="s">
        <v>68</v>
      </c>
      <c r="D267" s="35" t="s">
        <v>69</v>
      </c>
      <c r="E267" s="34" t="s">
        <v>44</v>
      </c>
      <c r="F267" s="57">
        <v>0.1236</v>
      </c>
      <c r="G267" s="57">
        <f>TRUNC(12.54,2)</f>
        <v>12.54</v>
      </c>
      <c r="H267" s="135">
        <f>TRUNC(F267*G267,2)</f>
        <v>1.54</v>
      </c>
    </row>
    <row r="268" spans="2:8" ht="15" customHeight="1" x14ac:dyDescent="0.25">
      <c r="B268" s="181"/>
      <c r="C268" s="210" t="s">
        <v>462</v>
      </c>
      <c r="D268" s="35" t="s">
        <v>463</v>
      </c>
      <c r="E268" s="34" t="s">
        <v>44</v>
      </c>
      <c r="F268" s="57">
        <v>0.1236</v>
      </c>
      <c r="G268" s="57">
        <f>TRUNC(17.3,2)</f>
        <v>17.3</v>
      </c>
      <c r="H268" s="135">
        <f>TRUNC(F268*G268,2)</f>
        <v>2.13</v>
      </c>
    </row>
    <row r="269" spans="2:8" ht="15" customHeight="1" thickBot="1" x14ac:dyDescent="0.3">
      <c r="B269" s="181"/>
      <c r="C269" s="211"/>
      <c r="D269" s="136"/>
      <c r="E269" s="137"/>
      <c r="F269" s="138" t="s">
        <v>45</v>
      </c>
      <c r="G269" s="138"/>
      <c r="H269" s="139">
        <f>TRUNC(SUM(H267:H268),2)</f>
        <v>3.67</v>
      </c>
    </row>
    <row r="270" spans="2:8" ht="15" customHeight="1" thickBot="1" x14ac:dyDescent="0.3">
      <c r="B270" s="181"/>
      <c r="C270" s="204"/>
      <c r="D270" s="115"/>
      <c r="E270" s="34"/>
      <c r="F270" s="57"/>
      <c r="G270" s="57"/>
      <c r="H270" s="57"/>
    </row>
    <row r="271" spans="2:8" ht="15" customHeight="1" x14ac:dyDescent="0.25">
      <c r="B271" s="181" t="s">
        <v>741</v>
      </c>
      <c r="C271" s="212" t="s">
        <v>459</v>
      </c>
      <c r="D271" s="131" t="s">
        <v>376</v>
      </c>
      <c r="E271" s="131" t="s">
        <v>29</v>
      </c>
      <c r="F271" s="140">
        <v>1</v>
      </c>
      <c r="G271" s="140">
        <f>H276</f>
        <v>3.32</v>
      </c>
      <c r="H271" s="141">
        <f>TRUNC(F271*G271,2)</f>
        <v>3.32</v>
      </c>
    </row>
    <row r="272" spans="2:8" ht="15" customHeight="1" x14ac:dyDescent="0.25">
      <c r="B272" s="181"/>
      <c r="C272" s="213" t="s">
        <v>377</v>
      </c>
      <c r="D272" s="35" t="s">
        <v>378</v>
      </c>
      <c r="E272" s="35" t="s">
        <v>29</v>
      </c>
      <c r="F272" s="142">
        <v>0.37</v>
      </c>
      <c r="G272" s="142">
        <f>TRUNC(2.789,2)</f>
        <v>2.78</v>
      </c>
      <c r="H272" s="143">
        <f>TRUNC(F272*G272,2)</f>
        <v>1.02</v>
      </c>
    </row>
    <row r="273" spans="2:8" ht="15" customHeight="1" x14ac:dyDescent="0.25">
      <c r="B273" s="181"/>
      <c r="C273" s="213" t="s">
        <v>379</v>
      </c>
      <c r="D273" s="35" t="s">
        <v>380</v>
      </c>
      <c r="E273" s="35" t="s">
        <v>29</v>
      </c>
      <c r="F273" s="142">
        <v>0.37</v>
      </c>
      <c r="G273" s="142">
        <f>TRUNC(2.896,2)</f>
        <v>2.89</v>
      </c>
      <c r="H273" s="143">
        <f>TRUNC(F273*G273,2)</f>
        <v>1.06</v>
      </c>
    </row>
    <row r="274" spans="2:8" ht="15" customHeight="1" x14ac:dyDescent="0.25">
      <c r="B274" s="181"/>
      <c r="C274" s="213" t="s">
        <v>381</v>
      </c>
      <c r="D274" s="35" t="s">
        <v>382</v>
      </c>
      <c r="E274" s="35" t="s">
        <v>29</v>
      </c>
      <c r="F274" s="142">
        <v>0.37</v>
      </c>
      <c r="G274" s="142">
        <f>TRUNC(2.939,2)</f>
        <v>2.93</v>
      </c>
      <c r="H274" s="143">
        <f>TRUNC(F274*G274,2)</f>
        <v>1.08</v>
      </c>
    </row>
    <row r="275" spans="2:8" ht="15" customHeight="1" x14ac:dyDescent="0.25">
      <c r="B275" s="181"/>
      <c r="C275" s="213" t="s">
        <v>108</v>
      </c>
      <c r="D275" s="35" t="s">
        <v>109</v>
      </c>
      <c r="E275" s="35" t="s">
        <v>29</v>
      </c>
      <c r="F275" s="142">
        <v>0.03</v>
      </c>
      <c r="G275" s="142">
        <f>TRUNC(5.4325,2)</f>
        <v>5.43</v>
      </c>
      <c r="H275" s="143">
        <f>TRUNC(F275*G275,2)</f>
        <v>0.16</v>
      </c>
    </row>
    <row r="276" spans="2:8" ht="15" customHeight="1" x14ac:dyDescent="0.25">
      <c r="B276" s="181"/>
      <c r="C276" s="213"/>
      <c r="D276" s="35"/>
      <c r="E276" s="35"/>
      <c r="F276" s="142" t="s">
        <v>45</v>
      </c>
      <c r="G276" s="142"/>
      <c r="H276" s="143">
        <f>TRUNC(SUM(H272:H275),2)</f>
        <v>3.32</v>
      </c>
    </row>
    <row r="277" spans="2:8" ht="15" customHeight="1" x14ac:dyDescent="0.25">
      <c r="B277" s="181" t="s">
        <v>741</v>
      </c>
      <c r="C277" s="213" t="s">
        <v>460</v>
      </c>
      <c r="D277" s="35" t="s">
        <v>465</v>
      </c>
      <c r="E277" s="35" t="s">
        <v>29</v>
      </c>
      <c r="F277" s="142">
        <v>1</v>
      </c>
      <c r="G277" s="142">
        <f>H280</f>
        <v>3.22</v>
      </c>
      <c r="H277" s="143">
        <f>TRUNC(F277*G277,2)</f>
        <v>3.22</v>
      </c>
    </row>
    <row r="278" spans="2:8" ht="15" customHeight="1" x14ac:dyDescent="0.25">
      <c r="B278" s="181"/>
      <c r="C278" s="213" t="s">
        <v>68</v>
      </c>
      <c r="D278" s="35" t="s">
        <v>69</v>
      </c>
      <c r="E278" s="35" t="s">
        <v>44</v>
      </c>
      <c r="F278" s="142">
        <v>0.10815</v>
      </c>
      <c r="G278" s="142">
        <f>TRUNC(12.54,2)</f>
        <v>12.54</v>
      </c>
      <c r="H278" s="143">
        <f>TRUNC(F278*G278,2)</f>
        <v>1.35</v>
      </c>
    </row>
    <row r="279" spans="2:8" ht="15" customHeight="1" x14ac:dyDescent="0.25">
      <c r="B279" s="181"/>
      <c r="C279" s="213" t="s">
        <v>462</v>
      </c>
      <c r="D279" s="35" t="s">
        <v>463</v>
      </c>
      <c r="E279" s="35" t="s">
        <v>44</v>
      </c>
      <c r="F279" s="142">
        <v>0.10815</v>
      </c>
      <c r="G279" s="142">
        <f>TRUNC(17.3,2)</f>
        <v>17.3</v>
      </c>
      <c r="H279" s="143">
        <f>TRUNC(F279*G279,2)</f>
        <v>1.87</v>
      </c>
    </row>
    <row r="280" spans="2:8" ht="15" customHeight="1" thickBot="1" x14ac:dyDescent="0.3">
      <c r="B280" s="181"/>
      <c r="C280" s="214"/>
      <c r="D280" s="136"/>
      <c r="E280" s="136"/>
      <c r="F280" s="144" t="s">
        <v>45</v>
      </c>
      <c r="G280" s="144"/>
      <c r="H280" s="145">
        <f>TRUNC(SUM(H278:H279),2)</f>
        <v>3.22</v>
      </c>
    </row>
    <row r="282" spans="2:8" x14ac:dyDescent="0.25">
      <c r="B282" s="17" t="s">
        <v>742</v>
      </c>
      <c r="C282" s="184" t="s">
        <v>244</v>
      </c>
      <c r="D282" s="2" t="s">
        <v>466</v>
      </c>
      <c r="E282" s="2" t="s">
        <v>21</v>
      </c>
      <c r="F282" s="1">
        <v>1</v>
      </c>
      <c r="G282" s="1">
        <f>TRUNC(9.988,2)</f>
        <v>9.98</v>
      </c>
      <c r="H282" s="1">
        <f>TRUNC(F282*G282,2)</f>
        <v>9.98</v>
      </c>
    </row>
    <row r="283" spans="2:8" x14ac:dyDescent="0.25">
      <c r="C283" s="184" t="s">
        <v>245</v>
      </c>
      <c r="D283" s="2" t="s">
        <v>246</v>
      </c>
      <c r="E283" s="2" t="s">
        <v>49</v>
      </c>
      <c r="F283" s="1">
        <v>0.4</v>
      </c>
      <c r="G283" s="1">
        <f>TRUNC(6.19,2)</f>
        <v>6.19</v>
      </c>
      <c r="H283" s="1">
        <f>TRUNC(F283*G283,2)</f>
        <v>2.4700000000000002</v>
      </c>
    </row>
    <row r="284" spans="2:8" x14ac:dyDescent="0.25">
      <c r="C284" s="184" t="s">
        <v>74</v>
      </c>
      <c r="D284" s="2" t="s">
        <v>46</v>
      </c>
      <c r="E284" s="2" t="s">
        <v>44</v>
      </c>
      <c r="F284" s="1">
        <v>0.4</v>
      </c>
      <c r="G284" s="1">
        <f>TRUNC(18.78,2)</f>
        <v>18.78</v>
      </c>
      <c r="H284" s="1">
        <f>TRUNC(F284*G284,2)</f>
        <v>7.51</v>
      </c>
    </row>
    <row r="285" spans="2:8" x14ac:dyDescent="0.25">
      <c r="F285" s="1" t="s">
        <v>45</v>
      </c>
      <c r="H285" s="1">
        <f>TRUNC(SUM(H283:H284),2)</f>
        <v>9.98</v>
      </c>
    </row>
    <row r="286" spans="2:8" ht="30" x14ac:dyDescent="0.25">
      <c r="B286" s="17" t="s">
        <v>743</v>
      </c>
      <c r="C286" s="208" t="s">
        <v>468</v>
      </c>
      <c r="D286" s="2" t="s">
        <v>276</v>
      </c>
      <c r="E286" s="2" t="s">
        <v>29</v>
      </c>
      <c r="F286" s="1">
        <v>1</v>
      </c>
      <c r="G286" s="1">
        <f>H292</f>
        <v>6.71</v>
      </c>
      <c r="H286" s="1">
        <f>TRUNC(F286*G286,2)</f>
        <v>6.71</v>
      </c>
    </row>
    <row r="287" spans="2:8" ht="20.25" customHeight="1" x14ac:dyDescent="0.25">
      <c r="C287" s="215" t="s">
        <v>467</v>
      </c>
      <c r="D287" s="147" t="s">
        <v>144</v>
      </c>
      <c r="E287" s="146" t="s">
        <v>29</v>
      </c>
      <c r="F287" s="148">
        <v>1.03</v>
      </c>
      <c r="G287" s="148">
        <f>TRUNC(5.19,2)</f>
        <v>5.19</v>
      </c>
      <c r="H287" s="148"/>
    </row>
    <row r="288" spans="2:8" x14ac:dyDescent="0.25">
      <c r="C288" s="204"/>
      <c r="D288" s="35" t="s">
        <v>253</v>
      </c>
      <c r="E288" s="34" t="s">
        <v>29</v>
      </c>
      <c r="F288" s="57">
        <v>1.03</v>
      </c>
      <c r="G288" s="57">
        <v>5.24</v>
      </c>
      <c r="H288" s="57">
        <v>5.4</v>
      </c>
    </row>
    <row r="289" spans="2:8" x14ac:dyDescent="0.25">
      <c r="C289" s="184" t="s">
        <v>142</v>
      </c>
      <c r="D289" s="2" t="s">
        <v>140</v>
      </c>
      <c r="E289" s="2" t="s">
        <v>29</v>
      </c>
      <c r="F289" s="1">
        <v>1.03E-2</v>
      </c>
      <c r="G289" s="1">
        <f>TRUNC(10.55,2)</f>
        <v>10.55</v>
      </c>
      <c r="H289" s="1">
        <f>TRUNC(F289*G289,2)</f>
        <v>0.1</v>
      </c>
    </row>
    <row r="290" spans="2:8" x14ac:dyDescent="0.25">
      <c r="C290" s="184" t="s">
        <v>74</v>
      </c>
      <c r="D290" s="2" t="s">
        <v>46</v>
      </c>
      <c r="E290" s="2" t="s">
        <v>44</v>
      </c>
      <c r="F290" s="1">
        <v>0.04</v>
      </c>
      <c r="G290" s="1">
        <f>TRUNC(18.78,2)</f>
        <v>18.78</v>
      </c>
      <c r="H290" s="1">
        <f>TRUNC(F290*G290,2)</f>
        <v>0.75</v>
      </c>
    </row>
    <row r="291" spans="2:8" x14ac:dyDescent="0.25">
      <c r="C291" s="184" t="s">
        <v>143</v>
      </c>
      <c r="D291" s="2" t="s">
        <v>141</v>
      </c>
      <c r="E291" s="2" t="s">
        <v>44</v>
      </c>
      <c r="F291" s="1">
        <v>0.02</v>
      </c>
      <c r="G291" s="1">
        <f>TRUNC(23.48,2)</f>
        <v>23.48</v>
      </c>
      <c r="H291" s="1">
        <f>TRUNC(F291*G291,2)</f>
        <v>0.46</v>
      </c>
    </row>
    <row r="292" spans="2:8" x14ac:dyDescent="0.25">
      <c r="F292" s="1" t="s">
        <v>45</v>
      </c>
      <c r="H292" s="1">
        <f>SUM(H288:H291)</f>
        <v>6.71</v>
      </c>
    </row>
    <row r="293" spans="2:8" x14ac:dyDescent="0.25">
      <c r="B293" s="17" t="s">
        <v>744</v>
      </c>
      <c r="C293" s="204" t="s">
        <v>469</v>
      </c>
      <c r="D293" s="2" t="s">
        <v>346</v>
      </c>
      <c r="E293" s="2" t="s">
        <v>24</v>
      </c>
      <c r="F293" s="1">
        <v>1</v>
      </c>
      <c r="G293" s="1">
        <f>H296</f>
        <v>115.56</v>
      </c>
      <c r="H293" s="1">
        <f>TRUNC(F293*G293,2)</f>
        <v>115.56</v>
      </c>
    </row>
    <row r="294" spans="2:8" x14ac:dyDescent="0.25">
      <c r="C294" s="204" t="s">
        <v>347</v>
      </c>
      <c r="D294" s="2" t="s">
        <v>348</v>
      </c>
      <c r="E294" s="2" t="s">
        <v>118</v>
      </c>
      <c r="F294" s="1">
        <v>1.595</v>
      </c>
      <c r="G294" s="1">
        <f>TRUNC(52.215,2)</f>
        <v>52.21</v>
      </c>
      <c r="H294" s="1">
        <f>TRUNC(F294*G294,2)</f>
        <v>83.27</v>
      </c>
    </row>
    <row r="295" spans="2:8" x14ac:dyDescent="0.25">
      <c r="C295" s="204" t="s">
        <v>68</v>
      </c>
      <c r="D295" s="2" t="s">
        <v>69</v>
      </c>
      <c r="E295" s="2" t="s">
        <v>44</v>
      </c>
      <c r="F295" s="1">
        <v>2.5750000000000002</v>
      </c>
      <c r="G295" s="1">
        <f>TRUNC(12.54,2)</f>
        <v>12.54</v>
      </c>
      <c r="H295" s="1">
        <f>TRUNC(F295*G295,2)</f>
        <v>32.29</v>
      </c>
    </row>
    <row r="296" spans="2:8" x14ac:dyDescent="0.25">
      <c r="C296" s="204"/>
      <c r="F296" s="1" t="s">
        <v>45</v>
      </c>
      <c r="H296" s="1">
        <f>TRUNC(SUM(H294:H295),2)</f>
        <v>115.56</v>
      </c>
    </row>
    <row r="297" spans="2:8" x14ac:dyDescent="0.25">
      <c r="B297" s="17" t="s">
        <v>745</v>
      </c>
      <c r="C297" s="184" t="s">
        <v>470</v>
      </c>
      <c r="D297" s="2" t="s">
        <v>254</v>
      </c>
      <c r="E297" s="2" t="s">
        <v>23</v>
      </c>
      <c r="F297" s="1">
        <v>1</v>
      </c>
      <c r="G297" s="1">
        <f>H301</f>
        <v>11.33</v>
      </c>
      <c r="H297" s="1">
        <f>TRUNC(F297*G297,2)</f>
        <v>11.33</v>
      </c>
    </row>
    <row r="298" spans="2:8" x14ac:dyDescent="0.25">
      <c r="C298" s="184" t="s">
        <v>255</v>
      </c>
      <c r="D298" s="2" t="s">
        <v>256</v>
      </c>
      <c r="E298" s="2" t="s">
        <v>118</v>
      </c>
      <c r="F298" s="1">
        <v>1.4499999999999999E-3</v>
      </c>
      <c r="G298" s="1">
        <f>TRUNC(54.01,2)</f>
        <v>54.01</v>
      </c>
      <c r="H298" s="1">
        <f>TRUNC(F298*G298,2)</f>
        <v>7.0000000000000007E-2</v>
      </c>
    </row>
    <row r="299" spans="2:8" x14ac:dyDescent="0.25">
      <c r="C299" s="184" t="s">
        <v>121</v>
      </c>
      <c r="D299" s="2" t="s">
        <v>122</v>
      </c>
      <c r="E299" s="2" t="s">
        <v>27</v>
      </c>
      <c r="F299" s="1">
        <v>0.17499999999999999</v>
      </c>
      <c r="G299" s="1">
        <f>TRUNC(27.51,2)</f>
        <v>27.51</v>
      </c>
      <c r="H299" s="1">
        <f>TRUNC(F299*G299,2)</f>
        <v>4.8099999999999996</v>
      </c>
    </row>
    <row r="300" spans="2:8" x14ac:dyDescent="0.25">
      <c r="C300" s="184" t="s">
        <v>68</v>
      </c>
      <c r="D300" s="2" t="s">
        <v>69</v>
      </c>
      <c r="E300" s="2" t="s">
        <v>44</v>
      </c>
      <c r="F300" s="1">
        <v>0.51500000000000001</v>
      </c>
      <c r="G300" s="1">
        <f>TRUNC(12.54,2)</f>
        <v>12.54</v>
      </c>
      <c r="H300" s="1">
        <f>TRUNC(F300*G300,2)</f>
        <v>6.45</v>
      </c>
    </row>
    <row r="301" spans="2:8" x14ac:dyDescent="0.25">
      <c r="F301" s="1" t="s">
        <v>45</v>
      </c>
      <c r="H301" s="1">
        <f>TRUNC(SUM(H298:H300),2)</f>
        <v>11.33</v>
      </c>
    </row>
    <row r="302" spans="2:8" x14ac:dyDescent="0.25">
      <c r="B302" s="17" t="s">
        <v>746</v>
      </c>
      <c r="C302" s="184" t="s">
        <v>471</v>
      </c>
      <c r="D302" s="2" t="s">
        <v>472</v>
      </c>
      <c r="E302" s="2" t="s">
        <v>21</v>
      </c>
      <c r="F302" s="1">
        <v>1</v>
      </c>
      <c r="G302" s="1">
        <f>H309</f>
        <v>69.959999999999994</v>
      </c>
      <c r="H302" s="1">
        <f t="shared" ref="H302:H308" si="10">TRUNC(F302*G302,2)</f>
        <v>69.959999999999994</v>
      </c>
    </row>
    <row r="303" spans="2:8" x14ac:dyDescent="0.25">
      <c r="C303" s="184" t="s">
        <v>473</v>
      </c>
      <c r="D303" s="2" t="s">
        <v>216</v>
      </c>
      <c r="E303" s="2" t="s">
        <v>217</v>
      </c>
      <c r="F303" s="1">
        <v>0.01</v>
      </c>
      <c r="G303" s="1">
        <f>TRUNC(47.25,2)</f>
        <v>47.25</v>
      </c>
      <c r="H303" s="1">
        <f t="shared" si="10"/>
        <v>0.47</v>
      </c>
    </row>
    <row r="304" spans="2:8" x14ac:dyDescent="0.25">
      <c r="C304" s="184" t="s">
        <v>474</v>
      </c>
      <c r="D304" s="2" t="s">
        <v>257</v>
      </c>
      <c r="E304" s="2" t="s">
        <v>23</v>
      </c>
      <c r="F304" s="1">
        <v>0.42</v>
      </c>
      <c r="G304" s="1">
        <f>TRUNC(1.99,2)</f>
        <v>1.99</v>
      </c>
      <c r="H304" s="1">
        <f t="shared" si="10"/>
        <v>0.83</v>
      </c>
    </row>
    <row r="305" spans="2:12" x14ac:dyDescent="0.25">
      <c r="C305" s="184" t="s">
        <v>475</v>
      </c>
      <c r="D305" s="2" t="s">
        <v>258</v>
      </c>
      <c r="E305" s="2" t="s">
        <v>27</v>
      </c>
      <c r="F305" s="1">
        <v>13.35</v>
      </c>
      <c r="G305" s="1">
        <f>TRUNC(2.27,2)</f>
        <v>2.27</v>
      </c>
      <c r="H305" s="1">
        <f t="shared" si="10"/>
        <v>30.3</v>
      </c>
    </row>
    <row r="306" spans="2:12" x14ac:dyDescent="0.25">
      <c r="C306" s="184" t="s">
        <v>74</v>
      </c>
      <c r="D306" s="2" t="s">
        <v>46</v>
      </c>
      <c r="E306" s="2" t="s">
        <v>44</v>
      </c>
      <c r="F306" s="1">
        <v>0.51</v>
      </c>
      <c r="G306" s="1">
        <f>TRUNC(18.78,2)</f>
        <v>18.78</v>
      </c>
      <c r="H306" s="1">
        <f t="shared" si="10"/>
        <v>9.57</v>
      </c>
    </row>
    <row r="307" spans="2:12" x14ac:dyDescent="0.25">
      <c r="C307" s="184" t="s">
        <v>476</v>
      </c>
      <c r="D307" s="2" t="s">
        <v>54</v>
      </c>
      <c r="E307" s="2" t="s">
        <v>44</v>
      </c>
      <c r="F307" s="1">
        <v>1.02</v>
      </c>
      <c r="G307" s="1">
        <f>TRUNC(23.61,2)</f>
        <v>23.61</v>
      </c>
      <c r="H307" s="1">
        <f t="shared" si="10"/>
        <v>24.08</v>
      </c>
    </row>
    <row r="308" spans="2:12" x14ac:dyDescent="0.25">
      <c r="C308" s="184" t="s">
        <v>477</v>
      </c>
      <c r="D308" s="2" t="s">
        <v>478</v>
      </c>
      <c r="E308" s="2" t="s">
        <v>24</v>
      </c>
      <c r="F308" s="1">
        <v>1.29E-2</v>
      </c>
      <c r="G308" s="1">
        <f>TRUNC(365.49,2)</f>
        <v>365.49</v>
      </c>
      <c r="H308" s="1">
        <f t="shared" si="10"/>
        <v>4.71</v>
      </c>
    </row>
    <row r="309" spans="2:12" x14ac:dyDescent="0.25">
      <c r="F309" s="1" t="s">
        <v>45</v>
      </c>
      <c r="H309" s="1">
        <f>TRUNC(SUM(H303:H308),2)</f>
        <v>69.959999999999994</v>
      </c>
    </row>
    <row r="311" spans="2:12" s="21" customFormat="1" ht="15" customHeight="1" x14ac:dyDescent="0.25">
      <c r="B311" s="181" t="s">
        <v>229</v>
      </c>
      <c r="C311" s="204"/>
      <c r="D311" s="149" t="s">
        <v>261</v>
      </c>
      <c r="E311" s="34"/>
      <c r="F311" s="57"/>
      <c r="G311" s="57"/>
      <c r="H311" s="57"/>
    </row>
    <row r="312" spans="2:12" s="21" customFormat="1" ht="15" customHeight="1" x14ac:dyDescent="0.25">
      <c r="B312" s="181"/>
      <c r="C312" s="204"/>
      <c r="D312" s="149"/>
      <c r="E312" s="34"/>
      <c r="F312" s="57"/>
      <c r="G312" s="57"/>
      <c r="H312" s="57"/>
    </row>
    <row r="313" spans="2:12" s="21" customFormat="1" x14ac:dyDescent="0.25">
      <c r="B313" s="25">
        <v>6</v>
      </c>
      <c r="C313" s="150"/>
      <c r="D313" s="127" t="s">
        <v>266</v>
      </c>
      <c r="E313" s="150"/>
      <c r="F313" s="8"/>
      <c r="G313" s="8"/>
      <c r="H313" s="8"/>
      <c r="I313" s="8"/>
      <c r="L313" s="8"/>
    </row>
    <row r="314" spans="2:12" s="21" customFormat="1" x14ac:dyDescent="0.25">
      <c r="B314" s="25" t="s">
        <v>753</v>
      </c>
      <c r="C314" s="150" t="s">
        <v>707</v>
      </c>
      <c r="D314" s="21" t="s">
        <v>807</v>
      </c>
      <c r="E314" s="150" t="s">
        <v>27</v>
      </c>
      <c r="F314" s="8">
        <v>1</v>
      </c>
      <c r="G314" s="8">
        <f>H325</f>
        <v>46.09</v>
      </c>
      <c r="H314" s="8">
        <f>TRUNC(F314*G314,2)</f>
        <v>46.09</v>
      </c>
      <c r="I314" s="8"/>
      <c r="L314" s="8"/>
    </row>
    <row r="315" spans="2:12" s="21" customFormat="1" x14ac:dyDescent="0.25">
      <c r="B315" s="25"/>
      <c r="C315" s="152" t="s">
        <v>33</v>
      </c>
      <c r="D315" s="151" t="s">
        <v>34</v>
      </c>
      <c r="E315" s="152" t="s">
        <v>29</v>
      </c>
      <c r="F315" s="153">
        <v>0.05</v>
      </c>
      <c r="G315" s="153">
        <f>TRUNC(8.39,2)</f>
        <v>8.39</v>
      </c>
      <c r="H315" s="153"/>
      <c r="I315" s="8"/>
      <c r="L315" s="8"/>
    </row>
    <row r="316" spans="2:12" s="21" customFormat="1" x14ac:dyDescent="0.25">
      <c r="B316" s="25"/>
      <c r="C316" s="152" t="s">
        <v>677</v>
      </c>
      <c r="D316" s="151" t="s">
        <v>678</v>
      </c>
      <c r="E316" s="152" t="s">
        <v>29</v>
      </c>
      <c r="F316" s="153">
        <v>7</v>
      </c>
      <c r="G316" s="153">
        <f>TRUNC(3.56,2)</f>
        <v>3.56</v>
      </c>
      <c r="H316" s="153"/>
      <c r="I316" s="8"/>
      <c r="L316" s="8"/>
    </row>
    <row r="317" spans="2:12" s="21" customFormat="1" x14ac:dyDescent="0.25">
      <c r="B317" s="25"/>
      <c r="C317" s="152" t="s">
        <v>68</v>
      </c>
      <c r="D317" s="151" t="s">
        <v>69</v>
      </c>
      <c r="E317" s="152" t="s">
        <v>44</v>
      </c>
      <c r="F317" s="153">
        <v>4.12</v>
      </c>
      <c r="G317" s="153">
        <f>TRUNC(12.54,2)</f>
        <v>12.54</v>
      </c>
      <c r="H317" s="153"/>
      <c r="I317" s="8"/>
      <c r="L317" s="8"/>
    </row>
    <row r="318" spans="2:12" s="21" customFormat="1" x14ac:dyDescent="0.25">
      <c r="B318" s="25"/>
      <c r="C318" s="150" t="s">
        <v>68</v>
      </c>
      <c r="D318" s="21" t="s">
        <v>69</v>
      </c>
      <c r="E318" s="150" t="s">
        <v>44</v>
      </c>
      <c r="F318" s="8">
        <v>1.5449999999999999</v>
      </c>
      <c r="G318" s="8">
        <f>TRUNC(12.54,2)</f>
        <v>12.54</v>
      </c>
      <c r="H318" s="8">
        <f>TRUNC(F318*G318,2)</f>
        <v>19.37</v>
      </c>
      <c r="I318" s="8"/>
      <c r="L318" s="8"/>
    </row>
    <row r="319" spans="2:12" s="21" customFormat="1" x14ac:dyDescent="0.25">
      <c r="B319" s="25"/>
      <c r="C319" s="150" t="s">
        <v>72</v>
      </c>
      <c r="D319" s="21" t="s">
        <v>73</v>
      </c>
      <c r="E319" s="150" t="s">
        <v>44</v>
      </c>
      <c r="F319" s="8">
        <v>1.5449999999999999</v>
      </c>
      <c r="G319" s="8">
        <f>TRUNC(17.3,2)</f>
        <v>17.3</v>
      </c>
      <c r="H319" s="8">
        <f>TRUNC(F319*G319,2)</f>
        <v>26.72</v>
      </c>
      <c r="I319" s="8"/>
      <c r="L319" s="8"/>
    </row>
    <row r="320" spans="2:12" s="21" customFormat="1" x14ac:dyDescent="0.25">
      <c r="B320" s="25"/>
      <c r="C320" s="152" t="s">
        <v>462</v>
      </c>
      <c r="D320" s="151" t="s">
        <v>463</v>
      </c>
      <c r="E320" s="152" t="s">
        <v>44</v>
      </c>
      <c r="F320" s="153">
        <v>1.5449999999999999</v>
      </c>
      <c r="G320" s="153">
        <f>TRUNC(17.3,2)</f>
        <v>17.3</v>
      </c>
      <c r="H320" s="153"/>
      <c r="I320" s="8"/>
      <c r="L320" s="8"/>
    </row>
    <row r="321" spans="2:12" s="21" customFormat="1" x14ac:dyDescent="0.25">
      <c r="B321" s="25"/>
      <c r="C321" s="152" t="s">
        <v>693</v>
      </c>
      <c r="D321" s="151" t="s">
        <v>694</v>
      </c>
      <c r="E321" s="152" t="s">
        <v>21</v>
      </c>
      <c r="F321" s="153">
        <v>0.9</v>
      </c>
      <c r="G321" s="153">
        <f>TRUNC(60.0205,2)</f>
        <v>60.02</v>
      </c>
      <c r="H321" s="153"/>
      <c r="I321" s="8"/>
      <c r="L321" s="8"/>
    </row>
    <row r="322" spans="2:12" s="21" customFormat="1" x14ac:dyDescent="0.25">
      <c r="B322" s="25"/>
      <c r="C322" s="152" t="s">
        <v>447</v>
      </c>
      <c r="D322" s="151" t="s">
        <v>448</v>
      </c>
      <c r="E322" s="152" t="s">
        <v>24</v>
      </c>
      <c r="F322" s="153">
        <v>9.5000000000000001E-2</v>
      </c>
      <c r="G322" s="153">
        <f>TRUNC(90.0677,2)</f>
        <v>90.06</v>
      </c>
      <c r="H322" s="153"/>
      <c r="I322" s="8"/>
      <c r="L322" s="8"/>
    </row>
    <row r="323" spans="2:12" s="21" customFormat="1" x14ac:dyDescent="0.25">
      <c r="B323" s="25"/>
      <c r="C323" s="152" t="s">
        <v>398</v>
      </c>
      <c r="D323" s="151" t="s">
        <v>399</v>
      </c>
      <c r="E323" s="152" t="s">
        <v>24</v>
      </c>
      <c r="F323" s="153">
        <v>9.5000000000000001E-2</v>
      </c>
      <c r="G323" s="153">
        <f>TRUNC(62.5225,2)</f>
        <v>62.52</v>
      </c>
      <c r="H323" s="153"/>
      <c r="I323" s="8"/>
      <c r="L323" s="8"/>
    </row>
    <row r="324" spans="2:12" s="21" customFormat="1" x14ac:dyDescent="0.25">
      <c r="B324" s="25"/>
      <c r="C324" s="152" t="s">
        <v>449</v>
      </c>
      <c r="D324" s="151" t="s">
        <v>450</v>
      </c>
      <c r="E324" s="152" t="s">
        <v>24</v>
      </c>
      <c r="F324" s="153">
        <v>9.5000000000000001E-2</v>
      </c>
      <c r="G324" s="153">
        <f>TRUNC(209.2239,2)</f>
        <v>209.22</v>
      </c>
      <c r="H324" s="153"/>
      <c r="I324" s="8"/>
      <c r="L324" s="8"/>
    </row>
    <row r="325" spans="2:12" s="21" customFormat="1" x14ac:dyDescent="0.25">
      <c r="B325" s="25"/>
      <c r="C325" s="150"/>
      <c r="E325" s="150"/>
      <c r="F325" s="8" t="s">
        <v>45</v>
      </c>
      <c r="G325" s="8"/>
      <c r="H325" s="8">
        <f>SUM(H315:H324)</f>
        <v>46.09</v>
      </c>
      <c r="I325" s="8"/>
      <c r="L325" s="8"/>
    </row>
    <row r="326" spans="2:12" s="21" customFormat="1" x14ac:dyDescent="0.25">
      <c r="B326" s="25" t="s">
        <v>754</v>
      </c>
      <c r="C326" s="150" t="s">
        <v>692</v>
      </c>
      <c r="D326" s="21" t="s">
        <v>805</v>
      </c>
      <c r="E326" s="150" t="s">
        <v>27</v>
      </c>
      <c r="F326" s="8">
        <v>1</v>
      </c>
      <c r="G326" s="8">
        <f>H354</f>
        <v>57.47</v>
      </c>
      <c r="H326" s="8">
        <f>TRUNC(F326*G326,2)</f>
        <v>57.47</v>
      </c>
      <c r="I326" s="8"/>
      <c r="L326" s="8"/>
    </row>
    <row r="327" spans="2:12" s="21" customFormat="1" x14ac:dyDescent="0.25">
      <c r="B327" s="25"/>
      <c r="C327" s="152" t="s">
        <v>681</v>
      </c>
      <c r="D327" s="151" t="s">
        <v>682</v>
      </c>
      <c r="E327" s="152" t="s">
        <v>27</v>
      </c>
      <c r="F327" s="153">
        <v>0.2</v>
      </c>
      <c r="G327" s="153">
        <f>TRUNC(7.29,2)</f>
        <v>7.29</v>
      </c>
      <c r="H327" s="153"/>
      <c r="I327" s="8"/>
      <c r="L327" s="8"/>
    </row>
    <row r="328" spans="2:12" s="21" customFormat="1" x14ac:dyDescent="0.25">
      <c r="B328" s="25"/>
      <c r="C328" s="152" t="s">
        <v>61</v>
      </c>
      <c r="D328" s="151" t="s">
        <v>62</v>
      </c>
      <c r="E328" s="152" t="s">
        <v>29</v>
      </c>
      <c r="F328" s="153">
        <v>3.55</v>
      </c>
      <c r="G328" s="153">
        <f>TRUNC(1.75,2)</f>
        <v>1.75</v>
      </c>
      <c r="H328" s="153"/>
      <c r="I328" s="8"/>
      <c r="L328" s="8"/>
    </row>
    <row r="329" spans="2:12" s="21" customFormat="1" x14ac:dyDescent="0.25">
      <c r="B329" s="25"/>
      <c r="C329" s="152" t="s">
        <v>363</v>
      </c>
      <c r="D329" s="151" t="s">
        <v>364</v>
      </c>
      <c r="E329" s="152" t="s">
        <v>21</v>
      </c>
      <c r="F329" s="153">
        <v>5.31</v>
      </c>
      <c r="G329" s="153">
        <f>TRUNC(30.33,2)</f>
        <v>30.33</v>
      </c>
      <c r="H329" s="153"/>
      <c r="I329" s="8"/>
      <c r="L329" s="8"/>
    </row>
    <row r="330" spans="2:12" s="21" customFormat="1" x14ac:dyDescent="0.25">
      <c r="B330" s="25"/>
      <c r="C330" s="152" t="s">
        <v>683</v>
      </c>
      <c r="D330" s="151" t="s">
        <v>684</v>
      </c>
      <c r="E330" s="152" t="s">
        <v>23</v>
      </c>
      <c r="F330" s="153">
        <v>18</v>
      </c>
      <c r="G330" s="153">
        <f>TRUNC(0.7,2)</f>
        <v>0.7</v>
      </c>
      <c r="H330" s="153"/>
      <c r="I330" s="8"/>
      <c r="L330" s="8"/>
    </row>
    <row r="331" spans="2:12" s="21" customFormat="1" x14ac:dyDescent="0.25">
      <c r="B331" s="25"/>
      <c r="C331" s="152" t="s">
        <v>241</v>
      </c>
      <c r="D331" s="151" t="s">
        <v>242</v>
      </c>
      <c r="E331" s="152" t="s">
        <v>23</v>
      </c>
      <c r="F331" s="153">
        <v>0.5</v>
      </c>
      <c r="G331" s="153">
        <f>TRUNC(5.3,2)</f>
        <v>5.3</v>
      </c>
      <c r="H331" s="153"/>
      <c r="I331" s="8"/>
      <c r="L331" s="8"/>
    </row>
    <row r="332" spans="2:12" s="21" customFormat="1" x14ac:dyDescent="0.25">
      <c r="B332" s="25"/>
      <c r="C332" s="152" t="s">
        <v>361</v>
      </c>
      <c r="D332" s="151" t="s">
        <v>362</v>
      </c>
      <c r="E332" s="152" t="s">
        <v>23</v>
      </c>
      <c r="F332" s="153">
        <v>1.1679999999999999</v>
      </c>
      <c r="G332" s="153">
        <f>TRUNC(3.6024,2)</f>
        <v>3.6</v>
      </c>
      <c r="H332" s="153"/>
      <c r="I332" s="8"/>
      <c r="L332" s="8"/>
    </row>
    <row r="333" spans="2:12" s="21" customFormat="1" x14ac:dyDescent="0.25">
      <c r="B333" s="25"/>
      <c r="C333" s="152" t="s">
        <v>35</v>
      </c>
      <c r="D333" s="151" t="s">
        <v>36</v>
      </c>
      <c r="E333" s="152" t="s">
        <v>23</v>
      </c>
      <c r="F333" s="153">
        <v>0.8</v>
      </c>
      <c r="G333" s="153">
        <f>TRUNC(2.46,2)</f>
        <v>2.46</v>
      </c>
      <c r="H333" s="153"/>
      <c r="I333" s="8"/>
      <c r="L333" s="8"/>
    </row>
    <row r="334" spans="2:12" s="21" customFormat="1" x14ac:dyDescent="0.25">
      <c r="B334" s="25"/>
      <c r="C334" s="152" t="s">
        <v>679</v>
      </c>
      <c r="D334" s="151" t="s">
        <v>680</v>
      </c>
      <c r="E334" s="152" t="s">
        <v>29</v>
      </c>
      <c r="F334" s="153">
        <v>44.34</v>
      </c>
      <c r="G334" s="153">
        <f>TRUNC(0.52,2)</f>
        <v>0.52</v>
      </c>
      <c r="H334" s="153"/>
      <c r="I334" s="8"/>
      <c r="L334" s="8"/>
    </row>
    <row r="335" spans="2:12" s="21" customFormat="1" x14ac:dyDescent="0.25">
      <c r="B335" s="25"/>
      <c r="C335" s="152" t="s">
        <v>33</v>
      </c>
      <c r="D335" s="151" t="s">
        <v>34</v>
      </c>
      <c r="E335" s="152" t="s">
        <v>29</v>
      </c>
      <c r="F335" s="153">
        <v>0.46</v>
      </c>
      <c r="G335" s="153">
        <f>TRUNC(8.39,2)</f>
        <v>8.39</v>
      </c>
      <c r="H335" s="153"/>
      <c r="I335" s="8"/>
      <c r="L335" s="8"/>
    </row>
    <row r="336" spans="2:12" s="21" customFormat="1" x14ac:dyDescent="0.25">
      <c r="B336" s="25"/>
      <c r="C336" s="152" t="s">
        <v>685</v>
      </c>
      <c r="D336" s="151" t="s">
        <v>686</v>
      </c>
      <c r="E336" s="152" t="s">
        <v>29</v>
      </c>
      <c r="F336" s="153">
        <v>4.08</v>
      </c>
      <c r="G336" s="153">
        <f>TRUNC(0.5,2)</f>
        <v>0.5</v>
      </c>
      <c r="H336" s="153"/>
      <c r="I336" s="8"/>
      <c r="L336" s="8"/>
    </row>
    <row r="337" spans="2:12" s="21" customFormat="1" x14ac:dyDescent="0.25">
      <c r="B337" s="25"/>
      <c r="C337" s="152" t="s">
        <v>356</v>
      </c>
      <c r="D337" s="151" t="s">
        <v>357</v>
      </c>
      <c r="E337" s="152" t="s">
        <v>29</v>
      </c>
      <c r="F337" s="153">
        <v>38.630000000000003</v>
      </c>
      <c r="G337" s="153">
        <f>TRUNC(0.35,2)</f>
        <v>0.35</v>
      </c>
      <c r="H337" s="153"/>
      <c r="I337" s="8"/>
      <c r="L337" s="8"/>
    </row>
    <row r="338" spans="2:12" s="21" customFormat="1" x14ac:dyDescent="0.25">
      <c r="B338" s="25"/>
      <c r="C338" s="152" t="s">
        <v>687</v>
      </c>
      <c r="D338" s="151" t="s">
        <v>688</v>
      </c>
      <c r="E338" s="152" t="s">
        <v>29</v>
      </c>
      <c r="F338" s="153">
        <v>1</v>
      </c>
      <c r="G338" s="153">
        <f>TRUNC(15.28,2)</f>
        <v>15.28</v>
      </c>
      <c r="H338" s="153"/>
      <c r="I338" s="8"/>
      <c r="L338" s="8"/>
    </row>
    <row r="339" spans="2:12" s="21" customFormat="1" x14ac:dyDescent="0.25">
      <c r="B339" s="25"/>
      <c r="C339" s="152" t="s">
        <v>695</v>
      </c>
      <c r="D339" s="151" t="s">
        <v>696</v>
      </c>
      <c r="E339" s="152" t="s">
        <v>44</v>
      </c>
      <c r="F339" s="153">
        <v>3.09</v>
      </c>
      <c r="G339" s="153">
        <f>TRUNC(17.3,2)</f>
        <v>17.3</v>
      </c>
      <c r="H339" s="153"/>
      <c r="I339" s="8"/>
      <c r="L339" s="8"/>
    </row>
    <row r="340" spans="2:12" s="21" customFormat="1" x14ac:dyDescent="0.25">
      <c r="B340" s="25"/>
      <c r="C340" s="152" t="s">
        <v>697</v>
      </c>
      <c r="D340" s="151" t="s">
        <v>698</v>
      </c>
      <c r="E340" s="152" t="s">
        <v>44</v>
      </c>
      <c r="F340" s="153">
        <v>4.7379999999999995</v>
      </c>
      <c r="G340" s="153">
        <f>TRUNC(17.3,2)</f>
        <v>17.3</v>
      </c>
      <c r="H340" s="153"/>
      <c r="I340" s="8"/>
      <c r="L340" s="8"/>
    </row>
    <row r="341" spans="2:12" s="21" customFormat="1" x14ac:dyDescent="0.25">
      <c r="B341" s="25"/>
      <c r="C341" s="150" t="s">
        <v>72</v>
      </c>
      <c r="D341" s="21" t="s">
        <v>73</v>
      </c>
      <c r="E341" s="150" t="s">
        <v>44</v>
      </c>
      <c r="F341" s="8">
        <v>1.9261000000000001</v>
      </c>
      <c r="G341" s="8">
        <f>TRUNC(17.3,2)</f>
        <v>17.3</v>
      </c>
      <c r="H341" s="8">
        <f>TRUNC(F341*G341,2)</f>
        <v>33.32</v>
      </c>
      <c r="I341" s="8"/>
      <c r="L341" s="8"/>
    </row>
    <row r="342" spans="2:12" s="21" customFormat="1" x14ac:dyDescent="0.25">
      <c r="B342" s="25"/>
      <c r="C342" s="150" t="s">
        <v>68</v>
      </c>
      <c r="D342" s="21" t="s">
        <v>69</v>
      </c>
      <c r="E342" s="150" t="s">
        <v>44</v>
      </c>
      <c r="F342" s="8">
        <v>1.9259999999999999</v>
      </c>
      <c r="G342" s="8">
        <f>TRUNC(12.54,2)</f>
        <v>12.54</v>
      </c>
      <c r="H342" s="8">
        <f>TRUNC(F342*G342,2)</f>
        <v>24.15</v>
      </c>
      <c r="I342" s="8"/>
      <c r="L342" s="8"/>
    </row>
    <row r="343" spans="2:12" s="21" customFormat="1" x14ac:dyDescent="0.25">
      <c r="B343" s="25"/>
      <c r="C343" s="152" t="s">
        <v>68</v>
      </c>
      <c r="D343" s="151" t="s">
        <v>69</v>
      </c>
      <c r="E343" s="152" t="s">
        <v>44</v>
      </c>
      <c r="F343" s="153">
        <v>8.291500000000001</v>
      </c>
      <c r="G343" s="153">
        <f>TRUNC(12.54,2)</f>
        <v>12.54</v>
      </c>
      <c r="H343" s="153"/>
      <c r="I343" s="8"/>
      <c r="L343" s="8"/>
    </row>
    <row r="344" spans="2:12" s="21" customFormat="1" x14ac:dyDescent="0.25">
      <c r="B344" s="25"/>
      <c r="C344" s="152" t="s">
        <v>411</v>
      </c>
      <c r="D344" s="151" t="s">
        <v>412</v>
      </c>
      <c r="E344" s="152" t="s">
        <v>44</v>
      </c>
      <c r="F344" s="153">
        <v>4.4702000000000002</v>
      </c>
      <c r="G344" s="153">
        <f>TRUNC(17.3,2)</f>
        <v>17.3</v>
      </c>
      <c r="H344" s="153"/>
      <c r="I344" s="8"/>
      <c r="L344" s="8"/>
    </row>
    <row r="345" spans="2:12" s="21" customFormat="1" x14ac:dyDescent="0.25">
      <c r="B345" s="25"/>
      <c r="C345" s="152" t="s">
        <v>699</v>
      </c>
      <c r="D345" s="151" t="s">
        <v>700</v>
      </c>
      <c r="E345" s="152" t="s">
        <v>44</v>
      </c>
      <c r="F345" s="153">
        <v>1</v>
      </c>
      <c r="G345" s="153">
        <f>TRUNC(23.3084,2)</f>
        <v>23.3</v>
      </c>
      <c r="H345" s="153"/>
      <c r="I345" s="8"/>
      <c r="L345" s="8"/>
    </row>
    <row r="346" spans="2:12" s="21" customFormat="1" x14ac:dyDescent="0.25">
      <c r="B346" s="25"/>
      <c r="C346" s="152" t="s">
        <v>449</v>
      </c>
      <c r="D346" s="151" t="s">
        <v>450</v>
      </c>
      <c r="E346" s="152" t="s">
        <v>24</v>
      </c>
      <c r="F346" s="153">
        <v>0.26900000000000002</v>
      </c>
      <c r="G346" s="153">
        <f>TRUNC(209.2239,2)</f>
        <v>209.22</v>
      </c>
      <c r="H346" s="153"/>
      <c r="I346" s="8"/>
      <c r="L346" s="8"/>
    </row>
    <row r="347" spans="2:12" s="21" customFormat="1" x14ac:dyDescent="0.25">
      <c r="B347" s="25"/>
      <c r="C347" s="152" t="s">
        <v>666</v>
      </c>
      <c r="D347" s="151" t="s">
        <v>667</v>
      </c>
      <c r="E347" s="152" t="s">
        <v>24</v>
      </c>
      <c r="F347" s="153">
        <v>0.26900000000000002</v>
      </c>
      <c r="G347" s="153">
        <f>TRUNC(86.2965,2)</f>
        <v>86.29</v>
      </c>
      <c r="H347" s="153"/>
      <c r="I347" s="8"/>
      <c r="L347" s="8"/>
    </row>
    <row r="348" spans="2:12" s="21" customFormat="1" x14ac:dyDescent="0.25">
      <c r="B348" s="25"/>
      <c r="C348" s="152" t="s">
        <v>701</v>
      </c>
      <c r="D348" s="151" t="s">
        <v>702</v>
      </c>
      <c r="E348" s="152" t="s">
        <v>24</v>
      </c>
      <c r="F348" s="153">
        <v>0.26900000000000002</v>
      </c>
      <c r="G348" s="153">
        <f>TRUNC(63.5296,2)</f>
        <v>63.52</v>
      </c>
      <c r="H348" s="153"/>
      <c r="I348" s="8"/>
      <c r="L348" s="8"/>
    </row>
    <row r="349" spans="2:12" s="21" customFormat="1" x14ac:dyDescent="0.25">
      <c r="B349" s="25"/>
      <c r="C349" s="152" t="s">
        <v>703</v>
      </c>
      <c r="D349" s="151" t="s">
        <v>704</v>
      </c>
      <c r="E349" s="152" t="s">
        <v>24</v>
      </c>
      <c r="F349" s="153">
        <v>0.13100000000000001</v>
      </c>
      <c r="G349" s="153">
        <f>TRUNC(1695.6163,2)</f>
        <v>1695.61</v>
      </c>
      <c r="H349" s="153"/>
      <c r="I349" s="8"/>
      <c r="L349" s="8"/>
    </row>
    <row r="350" spans="2:12" s="21" customFormat="1" x14ac:dyDescent="0.25">
      <c r="B350" s="25"/>
      <c r="C350" s="152" t="s">
        <v>580</v>
      </c>
      <c r="D350" s="151" t="s">
        <v>581</v>
      </c>
      <c r="E350" s="152" t="s">
        <v>44</v>
      </c>
      <c r="F350" s="153">
        <v>0.1724</v>
      </c>
      <c r="G350" s="153">
        <f>TRUNC(113.3781,2)</f>
        <v>113.37</v>
      </c>
      <c r="H350" s="153"/>
      <c r="I350" s="8"/>
      <c r="L350" s="8"/>
    </row>
    <row r="351" spans="2:12" s="21" customFormat="1" x14ac:dyDescent="0.25">
      <c r="B351" s="25"/>
      <c r="C351" s="152" t="s">
        <v>578</v>
      </c>
      <c r="D351" s="151" t="s">
        <v>579</v>
      </c>
      <c r="E351" s="152" t="s">
        <v>44</v>
      </c>
      <c r="F351" s="153">
        <v>0.36</v>
      </c>
      <c r="G351" s="153">
        <f>TRUNC(36.7557,2)</f>
        <v>36.75</v>
      </c>
      <c r="H351" s="153"/>
      <c r="I351" s="8"/>
      <c r="L351" s="8"/>
    </row>
    <row r="352" spans="2:12" s="21" customFormat="1" x14ac:dyDescent="0.25">
      <c r="B352" s="25"/>
      <c r="C352" s="152" t="s">
        <v>705</v>
      </c>
      <c r="D352" s="151" t="s">
        <v>706</v>
      </c>
      <c r="E352" s="152" t="s">
        <v>44</v>
      </c>
      <c r="F352" s="153">
        <v>2</v>
      </c>
      <c r="G352" s="153">
        <f>TRUNC(69.9969,2)</f>
        <v>69.989999999999995</v>
      </c>
      <c r="H352" s="153"/>
      <c r="I352" s="8"/>
      <c r="L352" s="8"/>
    </row>
    <row r="353" spans="1:12" s="21" customFormat="1" x14ac:dyDescent="0.25">
      <c r="B353" s="25"/>
      <c r="C353" s="152" t="s">
        <v>689</v>
      </c>
      <c r="D353" s="151" t="s">
        <v>690</v>
      </c>
      <c r="E353" s="152" t="s">
        <v>691</v>
      </c>
      <c r="F353" s="153">
        <v>2</v>
      </c>
      <c r="G353" s="153">
        <f>TRUNC(0.7795,2)</f>
        <v>0.77</v>
      </c>
      <c r="H353" s="153"/>
      <c r="I353" s="8"/>
      <c r="L353" s="8"/>
    </row>
    <row r="354" spans="1:12" s="21" customFormat="1" x14ac:dyDescent="0.25">
      <c r="B354" s="25"/>
      <c r="C354" s="150"/>
      <c r="D354" s="127"/>
      <c r="E354" s="150"/>
      <c r="F354" s="8" t="s">
        <v>45</v>
      </c>
      <c r="G354" s="8"/>
      <c r="H354" s="8">
        <f>TRUNC(SUM(H327:H353),2)</f>
        <v>57.47</v>
      </c>
      <c r="I354" s="8"/>
      <c r="L354" s="8"/>
    </row>
    <row r="355" spans="1:12" s="8" customFormat="1" ht="15" customHeight="1" x14ac:dyDescent="0.25">
      <c r="A355" s="21"/>
      <c r="B355" s="180"/>
      <c r="C355" s="178"/>
      <c r="D355" s="129"/>
      <c r="E355" s="129"/>
      <c r="F355" s="130"/>
      <c r="G355" s="31"/>
      <c r="H355" s="31"/>
    </row>
    <row r="356" spans="1:12" s="8" customFormat="1" ht="15" customHeight="1" x14ac:dyDescent="0.25">
      <c r="A356" s="2"/>
      <c r="B356" s="180" t="s">
        <v>230</v>
      </c>
      <c r="C356" s="178"/>
      <c r="D356" s="154" t="s">
        <v>79</v>
      </c>
      <c r="E356" s="129"/>
      <c r="F356" s="130"/>
      <c r="G356" s="31"/>
      <c r="H356" s="31"/>
    </row>
    <row r="357" spans="1:12" ht="30" x14ac:dyDescent="0.25">
      <c r="B357" s="17" t="s">
        <v>755</v>
      </c>
      <c r="C357" s="208" t="s">
        <v>500</v>
      </c>
      <c r="D357" s="2" t="s">
        <v>501</v>
      </c>
      <c r="E357" s="2" t="s">
        <v>27</v>
      </c>
      <c r="F357" s="1">
        <v>1</v>
      </c>
      <c r="G357" s="1">
        <f>H363</f>
        <v>39.669999999999995</v>
      </c>
      <c r="H357" s="1">
        <f>TRUNC(F357*G357,2)</f>
        <v>39.67</v>
      </c>
    </row>
    <row r="358" spans="1:12" x14ac:dyDescent="0.25">
      <c r="C358" s="207" t="s">
        <v>496</v>
      </c>
      <c r="D358" s="91" t="s">
        <v>195</v>
      </c>
      <c r="E358" s="91" t="s">
        <v>27</v>
      </c>
      <c r="F358" s="92">
        <v>1</v>
      </c>
      <c r="G358" s="92">
        <f>TRUNC(3.25,2)</f>
        <v>3.25</v>
      </c>
      <c r="H358" s="92"/>
    </row>
    <row r="359" spans="1:12" s="8" customFormat="1" ht="15" customHeight="1" x14ac:dyDescent="0.25">
      <c r="A359" s="2"/>
      <c r="B359" s="180"/>
      <c r="C359" s="216" t="s">
        <v>196</v>
      </c>
      <c r="D359" s="129" t="s">
        <v>197</v>
      </c>
      <c r="E359" s="129"/>
      <c r="F359" s="130">
        <v>1</v>
      </c>
      <c r="G359" s="31">
        <v>13.94</v>
      </c>
      <c r="H359" s="31">
        <f>F359*G359</f>
        <v>13.94</v>
      </c>
    </row>
    <row r="360" spans="1:12" x14ac:dyDescent="0.25">
      <c r="C360" s="184" t="s">
        <v>404</v>
      </c>
      <c r="D360" s="2" t="s">
        <v>56</v>
      </c>
      <c r="E360" s="2" t="s">
        <v>44</v>
      </c>
      <c r="F360" s="1">
        <v>0.59599999999999997</v>
      </c>
      <c r="G360" s="1">
        <f>TRUNC(23.83,2)</f>
        <v>23.83</v>
      </c>
      <c r="H360" s="1">
        <f>TRUNC(F360*G360,2)</f>
        <v>14.2</v>
      </c>
    </row>
    <row r="361" spans="1:12" x14ac:dyDescent="0.25">
      <c r="C361" s="184" t="s">
        <v>497</v>
      </c>
      <c r="D361" s="2" t="s">
        <v>57</v>
      </c>
      <c r="E361" s="2" t="s">
        <v>44</v>
      </c>
      <c r="F361" s="1">
        <v>0.59599999999999997</v>
      </c>
      <c r="G361" s="1">
        <f>TRUNC(18.55,2)</f>
        <v>18.55</v>
      </c>
      <c r="H361" s="1">
        <f>TRUNC(F361*G361,2)</f>
        <v>11.05</v>
      </c>
    </row>
    <row r="362" spans="1:12" x14ac:dyDescent="0.25">
      <c r="C362" s="184" t="s">
        <v>498</v>
      </c>
      <c r="D362" s="2" t="s">
        <v>499</v>
      </c>
      <c r="E362" s="2" t="s">
        <v>24</v>
      </c>
      <c r="F362" s="1">
        <v>1.1999999999999999E-3</v>
      </c>
      <c r="G362" s="1">
        <f>TRUNC(402.69,2)</f>
        <v>402.69</v>
      </c>
      <c r="H362" s="1">
        <f>TRUNC(F362*G362,2)</f>
        <v>0.48</v>
      </c>
    </row>
    <row r="363" spans="1:12" x14ac:dyDescent="0.25">
      <c r="F363" s="1" t="s">
        <v>45</v>
      </c>
      <c r="H363" s="1">
        <f>SUM(H358:H362)</f>
        <v>39.669999999999995</v>
      </c>
    </row>
    <row r="365" spans="1:12" x14ac:dyDescent="0.25">
      <c r="B365" s="17" t="s">
        <v>756</v>
      </c>
      <c r="C365" s="184" t="s">
        <v>502</v>
      </c>
      <c r="D365" s="2" t="s">
        <v>503</v>
      </c>
      <c r="E365" s="2" t="s">
        <v>27</v>
      </c>
      <c r="F365" s="1">
        <v>1</v>
      </c>
      <c r="G365" s="1">
        <f>H369</f>
        <v>10.27</v>
      </c>
      <c r="H365" s="1">
        <f>TRUNC(F365*G365,2)</f>
        <v>10.27</v>
      </c>
    </row>
    <row r="366" spans="1:12" x14ac:dyDescent="0.25">
      <c r="C366" s="184" t="s">
        <v>504</v>
      </c>
      <c r="D366" s="2" t="s">
        <v>176</v>
      </c>
      <c r="E366" s="2" t="s">
        <v>27</v>
      </c>
      <c r="F366" s="1">
        <v>1</v>
      </c>
      <c r="G366" s="1">
        <f>TRUNC(4.22,2)</f>
        <v>4.22</v>
      </c>
      <c r="H366" s="1">
        <f>TRUNC(F366*G366,2)</f>
        <v>4.22</v>
      </c>
    </row>
    <row r="367" spans="1:12" x14ac:dyDescent="0.25">
      <c r="C367" s="184" t="s">
        <v>404</v>
      </c>
      <c r="D367" s="2" t="s">
        <v>56</v>
      </c>
      <c r="E367" s="2" t="s">
        <v>44</v>
      </c>
      <c r="F367" s="1">
        <v>0.14299999999999999</v>
      </c>
      <c r="G367" s="1">
        <f>TRUNC(23.83,2)</f>
        <v>23.83</v>
      </c>
      <c r="H367" s="1">
        <f>TRUNC(F367*G367,2)</f>
        <v>3.4</v>
      </c>
    </row>
    <row r="368" spans="1:12" x14ac:dyDescent="0.25">
      <c r="C368" s="184" t="s">
        <v>497</v>
      </c>
      <c r="D368" s="2" t="s">
        <v>57</v>
      </c>
      <c r="E368" s="2" t="s">
        <v>44</v>
      </c>
      <c r="F368" s="1">
        <v>0.14299999999999999</v>
      </c>
      <c r="G368" s="1">
        <f>TRUNC(18.55,2)</f>
        <v>18.55</v>
      </c>
      <c r="H368" s="1">
        <f>TRUNC(F368*G368,2)</f>
        <v>2.65</v>
      </c>
    </row>
    <row r="369" spans="1:8" x14ac:dyDescent="0.25">
      <c r="F369" s="1" t="s">
        <v>45</v>
      </c>
      <c r="H369" s="1">
        <f>TRUNC(SUM(H366:H368),2)</f>
        <v>10.27</v>
      </c>
    </row>
    <row r="370" spans="1:8" ht="30" x14ac:dyDescent="0.25">
      <c r="B370" s="17" t="s">
        <v>757</v>
      </c>
      <c r="C370" s="208" t="s">
        <v>505</v>
      </c>
      <c r="D370" s="2" t="s">
        <v>506</v>
      </c>
      <c r="E370" s="2" t="s">
        <v>27</v>
      </c>
      <c r="F370" s="1">
        <v>1</v>
      </c>
      <c r="G370" s="1">
        <f>H375</f>
        <v>119.87</v>
      </c>
      <c r="H370" s="1">
        <f>TRUNC(F370*G370,2)</f>
        <v>119.87</v>
      </c>
    </row>
    <row r="371" spans="1:8" x14ac:dyDescent="0.25">
      <c r="C371" s="207" t="s">
        <v>198</v>
      </c>
      <c r="D371" s="91" t="s">
        <v>199</v>
      </c>
      <c r="E371" s="91" t="s">
        <v>27</v>
      </c>
      <c r="F371" s="92">
        <v>1</v>
      </c>
      <c r="G371" s="92">
        <f>TRUNC(10.93,2)</f>
        <v>10.93</v>
      </c>
      <c r="H371" s="92"/>
    </row>
    <row r="372" spans="1:8" s="8" customFormat="1" ht="49.5" customHeight="1" x14ac:dyDescent="0.25">
      <c r="A372" s="2"/>
      <c r="B372" s="180"/>
      <c r="C372" s="178" t="s">
        <v>196</v>
      </c>
      <c r="D372" s="155" t="s">
        <v>200</v>
      </c>
      <c r="E372" s="129" t="s">
        <v>27</v>
      </c>
      <c r="F372" s="130">
        <v>1</v>
      </c>
      <c r="G372" s="31">
        <v>89.15</v>
      </c>
      <c r="H372" s="31">
        <f>F372*G372</f>
        <v>89.15</v>
      </c>
    </row>
    <row r="373" spans="1:8" x14ac:dyDescent="0.25">
      <c r="C373" s="184" t="s">
        <v>68</v>
      </c>
      <c r="D373" s="2" t="s">
        <v>69</v>
      </c>
      <c r="E373" s="2" t="s">
        <v>44</v>
      </c>
      <c r="F373" s="1">
        <v>1.03</v>
      </c>
      <c r="G373" s="1">
        <f>TRUNC(12.54,2)</f>
        <v>12.54</v>
      </c>
      <c r="H373" s="1">
        <f>TRUNC(F373*G373,2)</f>
        <v>12.91</v>
      </c>
    </row>
    <row r="374" spans="1:8" x14ac:dyDescent="0.25">
      <c r="C374" s="184" t="s">
        <v>392</v>
      </c>
      <c r="D374" s="2" t="s">
        <v>393</v>
      </c>
      <c r="E374" s="2" t="s">
        <v>44</v>
      </c>
      <c r="F374" s="1">
        <v>1.03</v>
      </c>
      <c r="G374" s="1">
        <f>TRUNC(17.3,2)</f>
        <v>17.3</v>
      </c>
      <c r="H374" s="1">
        <f>TRUNC(F374*G374,2)</f>
        <v>17.809999999999999</v>
      </c>
    </row>
    <row r="375" spans="1:8" x14ac:dyDescent="0.25">
      <c r="F375" s="1" t="s">
        <v>45</v>
      </c>
      <c r="H375" s="1">
        <f>SUM(H371:H374)</f>
        <v>119.87</v>
      </c>
    </row>
    <row r="376" spans="1:8" ht="30" x14ac:dyDescent="0.25">
      <c r="B376" s="17" t="s">
        <v>758</v>
      </c>
      <c r="C376" s="208" t="s">
        <v>510</v>
      </c>
      <c r="D376" s="2" t="s">
        <v>511</v>
      </c>
      <c r="E376" s="2" t="s">
        <v>27</v>
      </c>
      <c r="F376" s="1">
        <v>1</v>
      </c>
      <c r="G376" s="1">
        <f>H383</f>
        <v>315.22999999999996</v>
      </c>
      <c r="H376" s="1">
        <f>TRUNC(F376*G376,2)</f>
        <v>315.23</v>
      </c>
    </row>
    <row r="377" spans="1:8" x14ac:dyDescent="0.25">
      <c r="C377" s="215" t="s">
        <v>507</v>
      </c>
      <c r="D377" s="147" t="s">
        <v>181</v>
      </c>
      <c r="E377" s="146" t="s">
        <v>27</v>
      </c>
      <c r="F377" s="148">
        <v>1</v>
      </c>
      <c r="G377" s="148">
        <f>TRUNC(168.12,2)</f>
        <v>168.12</v>
      </c>
      <c r="H377" s="148"/>
    </row>
    <row r="378" spans="1:8" s="8" customFormat="1" ht="15" customHeight="1" x14ac:dyDescent="0.25">
      <c r="A378" s="2"/>
      <c r="B378" s="180"/>
      <c r="C378" s="178" t="s">
        <v>58</v>
      </c>
      <c r="D378" s="155" t="s">
        <v>260</v>
      </c>
      <c r="E378" s="129" t="s">
        <v>27</v>
      </c>
      <c r="F378" s="130">
        <v>1</v>
      </c>
      <c r="G378" s="31">
        <v>155.91999999999999</v>
      </c>
      <c r="H378" s="31">
        <f>F378*G378</f>
        <v>155.91999999999999</v>
      </c>
    </row>
    <row r="379" spans="1:8" s="8" customFormat="1" ht="15" customHeight="1" x14ac:dyDescent="0.25">
      <c r="A379" s="2"/>
      <c r="B379" s="180"/>
      <c r="C379" s="178" t="s">
        <v>58</v>
      </c>
      <c r="D379" s="129" t="s">
        <v>239</v>
      </c>
      <c r="E379" s="129" t="s">
        <v>27</v>
      </c>
      <c r="F379" s="130">
        <v>1</v>
      </c>
      <c r="G379" s="31">
        <v>78.790000000000006</v>
      </c>
      <c r="H379" s="31">
        <f>F379*G379</f>
        <v>78.790000000000006</v>
      </c>
    </row>
    <row r="380" spans="1:8" x14ac:dyDescent="0.25">
      <c r="C380" s="184" t="s">
        <v>74</v>
      </c>
      <c r="D380" s="2" t="s">
        <v>46</v>
      </c>
      <c r="E380" s="2" t="s">
        <v>44</v>
      </c>
      <c r="F380" s="1">
        <v>1.2135</v>
      </c>
      <c r="G380" s="1">
        <f>TRUNC(18.78,2)</f>
        <v>18.78</v>
      </c>
      <c r="H380" s="1">
        <f>TRUNC(F380*G380,2)</f>
        <v>22.78</v>
      </c>
    </row>
    <row r="381" spans="1:8" x14ac:dyDescent="0.25">
      <c r="C381" s="184" t="s">
        <v>404</v>
      </c>
      <c r="D381" s="2" t="s">
        <v>56</v>
      </c>
      <c r="E381" s="2" t="s">
        <v>44</v>
      </c>
      <c r="F381" s="1">
        <v>1.2</v>
      </c>
      <c r="G381" s="1">
        <f>TRUNC(23.83,2)</f>
        <v>23.83</v>
      </c>
      <c r="H381" s="1">
        <f>TRUNC(F381*G381,2)</f>
        <v>28.59</v>
      </c>
    </row>
    <row r="382" spans="1:8" x14ac:dyDescent="0.25">
      <c r="C382" s="184" t="s">
        <v>508</v>
      </c>
      <c r="D382" s="2" t="s">
        <v>509</v>
      </c>
      <c r="E382" s="2" t="s">
        <v>48</v>
      </c>
      <c r="F382" s="1">
        <v>0.2230307</v>
      </c>
      <c r="G382" s="1">
        <f>TRUNC(130.72,2)</f>
        <v>130.72</v>
      </c>
      <c r="H382" s="1">
        <f>TRUNC(F382*G382,2)</f>
        <v>29.15</v>
      </c>
    </row>
    <row r="383" spans="1:8" x14ac:dyDescent="0.25">
      <c r="F383" s="1" t="s">
        <v>45</v>
      </c>
      <c r="H383" s="1">
        <f>SUM(H377:H382)</f>
        <v>315.22999999999996</v>
      </c>
    </row>
    <row r="384" spans="1:8" ht="30" x14ac:dyDescent="0.25">
      <c r="B384" s="17" t="s">
        <v>759</v>
      </c>
      <c r="C384" s="208" t="s">
        <v>515</v>
      </c>
      <c r="D384" s="2" t="s">
        <v>516</v>
      </c>
      <c r="E384" s="2" t="s">
        <v>27</v>
      </c>
      <c r="F384" s="1">
        <v>1</v>
      </c>
      <c r="G384" s="1">
        <f>H391</f>
        <v>220.7</v>
      </c>
      <c r="H384" s="1">
        <f>TRUNC(F384*G384,2)</f>
        <v>220.7</v>
      </c>
    </row>
    <row r="385" spans="1:8" ht="14.25" customHeight="1" x14ac:dyDescent="0.25">
      <c r="C385" s="207" t="s">
        <v>512</v>
      </c>
      <c r="D385" s="146" t="s">
        <v>201</v>
      </c>
      <c r="E385" s="91" t="s">
        <v>27</v>
      </c>
      <c r="F385" s="92">
        <v>1</v>
      </c>
      <c r="G385" s="92">
        <f>TRUNC(104.41,2)</f>
        <v>104.41</v>
      </c>
    </row>
    <row r="386" spans="1:8" x14ac:dyDescent="0.25">
      <c r="C386" s="207" t="s">
        <v>513</v>
      </c>
      <c r="D386" s="91" t="s">
        <v>202</v>
      </c>
      <c r="E386" s="91" t="s">
        <v>27</v>
      </c>
      <c r="F386" s="92">
        <v>1</v>
      </c>
      <c r="G386" s="92">
        <f>TRUNC(61.04,2)</f>
        <v>61.04</v>
      </c>
      <c r="H386" s="92"/>
    </row>
    <row r="387" spans="1:8" s="8" customFormat="1" ht="15" customHeight="1" x14ac:dyDescent="0.25">
      <c r="A387" s="2"/>
      <c r="B387" s="180"/>
      <c r="C387" s="178" t="s">
        <v>58</v>
      </c>
      <c r="D387" s="129" t="s">
        <v>204</v>
      </c>
      <c r="E387" s="129" t="s">
        <v>27</v>
      </c>
      <c r="F387" s="130">
        <v>1</v>
      </c>
      <c r="G387" s="31">
        <v>207.57</v>
      </c>
      <c r="H387" s="31">
        <f>TRUNC(F387*G387,2)</f>
        <v>207.57</v>
      </c>
    </row>
    <row r="388" spans="1:8" x14ac:dyDescent="0.25">
      <c r="C388" s="207" t="s">
        <v>514</v>
      </c>
      <c r="D388" s="91" t="s">
        <v>203</v>
      </c>
      <c r="E388" s="91" t="s">
        <v>27</v>
      </c>
      <c r="F388" s="92">
        <v>1</v>
      </c>
      <c r="G388" s="92">
        <f>TRUNC(44.86,2)</f>
        <v>44.86</v>
      </c>
      <c r="H388" s="92"/>
    </row>
    <row r="389" spans="1:8" x14ac:dyDescent="0.25">
      <c r="C389" s="184" t="s">
        <v>404</v>
      </c>
      <c r="D389" s="2" t="s">
        <v>56</v>
      </c>
      <c r="E389" s="2" t="s">
        <v>44</v>
      </c>
      <c r="F389" s="1">
        <v>0.41649999999999998</v>
      </c>
      <c r="G389" s="1">
        <f>TRUNC(23.83,2)</f>
        <v>23.83</v>
      </c>
      <c r="H389" s="1">
        <f>TRUNC(F389*G389,2)</f>
        <v>9.92</v>
      </c>
    </row>
    <row r="390" spans="1:8" x14ac:dyDescent="0.25">
      <c r="C390" s="184" t="s">
        <v>497</v>
      </c>
      <c r="D390" s="2" t="s">
        <v>57</v>
      </c>
      <c r="E390" s="2" t="s">
        <v>44</v>
      </c>
      <c r="F390" s="1">
        <v>0.17349999999999999</v>
      </c>
      <c r="G390" s="1">
        <f>TRUNC(18.55,2)</f>
        <v>18.55</v>
      </c>
      <c r="H390" s="1">
        <f>TRUNC(F390*G390,2)</f>
        <v>3.21</v>
      </c>
    </row>
    <row r="391" spans="1:8" x14ac:dyDescent="0.25">
      <c r="F391" s="1" t="s">
        <v>45</v>
      </c>
      <c r="H391" s="1">
        <f>SUM(H385:H390)</f>
        <v>220.7</v>
      </c>
    </row>
    <row r="392" spans="1:8" ht="15.75" thickBot="1" x14ac:dyDescent="0.3"/>
    <row r="393" spans="1:8" s="8" customFormat="1" ht="70.5" customHeight="1" x14ac:dyDescent="0.25">
      <c r="A393" s="2"/>
      <c r="B393" s="180"/>
      <c r="C393" s="217" t="s">
        <v>517</v>
      </c>
      <c r="D393" s="156" t="s">
        <v>189</v>
      </c>
      <c r="E393" s="157" t="s">
        <v>27</v>
      </c>
      <c r="F393" s="158">
        <v>1</v>
      </c>
      <c r="G393" s="159">
        <f>TRUNC(244.87,2)</f>
        <v>244.87</v>
      </c>
      <c r="H393" s="160">
        <f>TRUNC(F393*G393,2)</f>
        <v>244.87</v>
      </c>
    </row>
    <row r="394" spans="1:8" s="8" customFormat="1" ht="15" customHeight="1" x14ac:dyDescent="0.25">
      <c r="A394" s="2"/>
      <c r="B394" s="180"/>
      <c r="C394" s="218" t="s">
        <v>179</v>
      </c>
      <c r="D394" s="129" t="s">
        <v>180</v>
      </c>
      <c r="E394" s="129" t="s">
        <v>27</v>
      </c>
      <c r="F394" s="130">
        <v>1</v>
      </c>
      <c r="G394" s="31">
        <f>TRUNC(244.87,2)</f>
        <v>244.87</v>
      </c>
      <c r="H394" s="161">
        <f>TRUNC(F394*G394,2)</f>
        <v>244.87</v>
      </c>
    </row>
    <row r="395" spans="1:8" s="8" customFormat="1" ht="15" customHeight="1" x14ac:dyDescent="0.25">
      <c r="A395" s="2"/>
      <c r="B395" s="180"/>
      <c r="C395" s="218"/>
      <c r="D395" s="129"/>
      <c r="E395" s="129"/>
      <c r="F395" s="130" t="s">
        <v>45</v>
      </c>
      <c r="G395" s="31"/>
      <c r="H395" s="161">
        <f>TRUNC(SUM(H394:H394),2)</f>
        <v>244.87</v>
      </c>
    </row>
    <row r="396" spans="1:8" s="8" customFormat="1" ht="15" customHeight="1" x14ac:dyDescent="0.25">
      <c r="A396" s="2"/>
      <c r="B396" s="180"/>
      <c r="C396" s="218" t="s">
        <v>519</v>
      </c>
      <c r="D396" s="129" t="s">
        <v>520</v>
      </c>
      <c r="E396" s="129" t="s">
        <v>27</v>
      </c>
      <c r="F396" s="130">
        <v>1</v>
      </c>
      <c r="G396" s="31">
        <f>TRUNC(108.665,2)</f>
        <v>108.66</v>
      </c>
      <c r="H396" s="161">
        <f>TRUNC(F396*G396,2)</f>
        <v>108.66</v>
      </c>
    </row>
    <row r="397" spans="1:8" s="8" customFormat="1" ht="15" customHeight="1" x14ac:dyDescent="0.25">
      <c r="A397" s="2"/>
      <c r="B397" s="180"/>
      <c r="C397" s="218" t="s">
        <v>521</v>
      </c>
      <c r="D397" s="129" t="s">
        <v>522</v>
      </c>
      <c r="E397" s="129" t="s">
        <v>44</v>
      </c>
      <c r="F397" s="130">
        <v>10.3</v>
      </c>
      <c r="G397" s="31">
        <f>TRUNC(10.55,2)</f>
        <v>10.55</v>
      </c>
      <c r="H397" s="161">
        <f>TRUNC(F397*G397,2)</f>
        <v>108.66</v>
      </c>
    </row>
    <row r="398" spans="1:8" s="8" customFormat="1" ht="15" customHeight="1" x14ac:dyDescent="0.25">
      <c r="A398" s="2"/>
      <c r="B398" s="180"/>
      <c r="C398" s="218"/>
      <c r="D398" s="129"/>
      <c r="E398" s="129"/>
      <c r="F398" s="130" t="s">
        <v>45</v>
      </c>
      <c r="G398" s="31"/>
      <c r="H398" s="161">
        <f>TRUNC(SUM(H397:H397),2)</f>
        <v>108.66</v>
      </c>
    </row>
    <row r="399" spans="1:8" s="8" customFormat="1" ht="23.25" customHeight="1" x14ac:dyDescent="0.25">
      <c r="A399" s="2"/>
      <c r="B399" s="180"/>
      <c r="C399" s="219" t="s">
        <v>518</v>
      </c>
      <c r="D399" s="162" t="s">
        <v>205</v>
      </c>
      <c r="E399" s="129" t="s">
        <v>27</v>
      </c>
      <c r="F399" s="130">
        <v>1</v>
      </c>
      <c r="G399" s="31">
        <f>H406</f>
        <v>463.49000000000007</v>
      </c>
      <c r="H399" s="161">
        <f>TRUNC(F399*G399,2)</f>
        <v>463.49</v>
      </c>
    </row>
    <row r="400" spans="1:8" s="8" customFormat="1" ht="15" customHeight="1" x14ac:dyDescent="0.25">
      <c r="A400" s="2"/>
      <c r="B400" s="180"/>
      <c r="C400" s="220" t="s">
        <v>190</v>
      </c>
      <c r="D400" s="163" t="s">
        <v>191</v>
      </c>
      <c r="E400" s="163" t="s">
        <v>27</v>
      </c>
      <c r="F400" s="164">
        <v>1</v>
      </c>
      <c r="G400" s="165">
        <f>TRUNC(90.9,2)</f>
        <v>90.9</v>
      </c>
      <c r="H400" s="166"/>
    </row>
    <row r="401" spans="1:8" s="8" customFormat="1" ht="15" customHeight="1" x14ac:dyDescent="0.25">
      <c r="A401" s="2"/>
      <c r="B401" s="180"/>
      <c r="C401" s="218" t="s">
        <v>190</v>
      </c>
      <c r="D401" s="129" t="s">
        <v>191</v>
      </c>
      <c r="E401" s="129" t="s">
        <v>27</v>
      </c>
      <c r="F401" s="130">
        <v>4</v>
      </c>
      <c r="G401" s="31">
        <f>TRUNC(90.9,2)</f>
        <v>90.9</v>
      </c>
      <c r="H401" s="161">
        <f>TRUNC(F401*G401,2)</f>
        <v>363.6</v>
      </c>
    </row>
    <row r="402" spans="1:8" s="8" customFormat="1" ht="15" customHeight="1" x14ac:dyDescent="0.25">
      <c r="A402" s="2"/>
      <c r="B402" s="180"/>
      <c r="C402" s="218" t="s">
        <v>192</v>
      </c>
      <c r="D402" s="129" t="s">
        <v>193</v>
      </c>
      <c r="E402" s="129" t="s">
        <v>29</v>
      </c>
      <c r="F402" s="130"/>
      <c r="G402" s="31"/>
      <c r="H402" s="161"/>
    </row>
    <row r="403" spans="1:8" s="8" customFormat="1" ht="15" customHeight="1" x14ac:dyDescent="0.25">
      <c r="A403" s="2"/>
      <c r="B403" s="180"/>
      <c r="C403" s="218"/>
      <c r="D403" s="129" t="s">
        <v>194</v>
      </c>
      <c r="E403" s="129" t="s">
        <v>29</v>
      </c>
      <c r="F403" s="130">
        <v>6.97</v>
      </c>
      <c r="G403" s="31">
        <v>5.25</v>
      </c>
      <c r="H403" s="161">
        <f>TRUNC(F403*G403,2)</f>
        <v>36.590000000000003</v>
      </c>
    </row>
    <row r="404" spans="1:8" s="8" customFormat="1" ht="15" customHeight="1" x14ac:dyDescent="0.25">
      <c r="A404" s="2"/>
      <c r="B404" s="180"/>
      <c r="C404" s="220" t="s">
        <v>84</v>
      </c>
      <c r="D404" s="163" t="s">
        <v>85</v>
      </c>
      <c r="E404" s="163" t="s">
        <v>44</v>
      </c>
      <c r="F404" s="164">
        <v>0.84460000000000002</v>
      </c>
      <c r="G404" s="165">
        <f>TRUNC(12.17,2)</f>
        <v>12.17</v>
      </c>
      <c r="H404" s="166"/>
    </row>
    <row r="405" spans="1:8" s="8" customFormat="1" ht="15" customHeight="1" x14ac:dyDescent="0.25">
      <c r="A405" s="2"/>
      <c r="B405" s="180"/>
      <c r="C405" s="218" t="s">
        <v>84</v>
      </c>
      <c r="D405" s="129" t="s">
        <v>85</v>
      </c>
      <c r="E405" s="129" t="s">
        <v>44</v>
      </c>
      <c r="F405" s="130">
        <v>6</v>
      </c>
      <c r="G405" s="31">
        <v>10.55</v>
      </c>
      <c r="H405" s="161">
        <f>TRUNC(F405*G405,2)</f>
        <v>63.3</v>
      </c>
    </row>
    <row r="406" spans="1:8" s="8" customFormat="1" ht="15" customHeight="1" x14ac:dyDescent="0.25">
      <c r="A406" s="2"/>
      <c r="B406" s="180"/>
      <c r="C406" s="218"/>
      <c r="D406" s="129"/>
      <c r="E406" s="129"/>
      <c r="F406" s="130" t="s">
        <v>45</v>
      </c>
      <c r="G406" s="31"/>
      <c r="H406" s="161">
        <f>SUM(H400:H405)</f>
        <v>463.49000000000007</v>
      </c>
    </row>
    <row r="407" spans="1:8" s="8" customFormat="1" ht="15" customHeight="1" x14ac:dyDescent="0.25">
      <c r="A407" s="2"/>
      <c r="B407" s="180"/>
      <c r="C407" s="218" t="s">
        <v>406</v>
      </c>
      <c r="D407" s="129" t="s">
        <v>248</v>
      </c>
      <c r="E407" s="129" t="s">
        <v>24</v>
      </c>
      <c r="F407" s="130">
        <v>1</v>
      </c>
      <c r="G407" s="31">
        <f>H409</f>
        <v>43.91</v>
      </c>
      <c r="H407" s="161">
        <f>TRUNC(F407*G407,2)</f>
        <v>43.91</v>
      </c>
    </row>
    <row r="408" spans="1:8" s="8" customFormat="1" ht="15" customHeight="1" x14ac:dyDescent="0.25">
      <c r="A408" s="2"/>
      <c r="B408" s="180"/>
      <c r="C408" s="218" t="s">
        <v>42</v>
      </c>
      <c r="D408" s="129" t="s">
        <v>43</v>
      </c>
      <c r="E408" s="129" t="s">
        <v>44</v>
      </c>
      <c r="F408" s="130">
        <v>3.5019999999999998</v>
      </c>
      <c r="G408" s="31">
        <v>12.54</v>
      </c>
      <c r="H408" s="161">
        <f>TRUNC(F408*G408,2)</f>
        <v>43.91</v>
      </c>
    </row>
    <row r="409" spans="1:8" s="8" customFormat="1" ht="15" customHeight="1" x14ac:dyDescent="0.25">
      <c r="A409" s="2"/>
      <c r="B409" s="180"/>
      <c r="C409" s="218"/>
      <c r="D409" s="129"/>
      <c r="E409" s="129"/>
      <c r="F409" s="130" t="s">
        <v>45</v>
      </c>
      <c r="G409" s="31"/>
      <c r="H409" s="161">
        <f>TRUNC(SUM(H408:H408),2)</f>
        <v>43.91</v>
      </c>
    </row>
    <row r="410" spans="1:8" s="8" customFormat="1" ht="15" customHeight="1" x14ac:dyDescent="0.25">
      <c r="A410" s="2"/>
      <c r="B410" s="180"/>
      <c r="C410" s="218"/>
      <c r="D410" s="129" t="s">
        <v>523</v>
      </c>
      <c r="E410" s="129"/>
      <c r="F410" s="130"/>
      <c r="G410" s="31"/>
      <c r="H410" s="161">
        <v>3.51</v>
      </c>
    </row>
    <row r="411" spans="1:8" s="8" customFormat="1" ht="15" customHeight="1" x14ac:dyDescent="0.25">
      <c r="A411" s="2"/>
      <c r="B411" s="180"/>
      <c r="C411" s="218" t="s">
        <v>437</v>
      </c>
      <c r="D411" s="129" t="s">
        <v>451</v>
      </c>
      <c r="E411" s="129" t="s">
        <v>24</v>
      </c>
      <c r="F411" s="130">
        <v>1</v>
      </c>
      <c r="G411" s="31">
        <f>H417</f>
        <v>389.98</v>
      </c>
      <c r="H411" s="161">
        <f t="shared" ref="H411:H416" si="11">TRUNC(F411*G411,2)</f>
        <v>389.98</v>
      </c>
    </row>
    <row r="412" spans="1:8" s="8" customFormat="1" ht="15" customHeight="1" x14ac:dyDescent="0.25">
      <c r="A412" s="2"/>
      <c r="B412" s="180"/>
      <c r="C412" s="218" t="s">
        <v>347</v>
      </c>
      <c r="D412" s="129" t="s">
        <v>348</v>
      </c>
      <c r="E412" s="129" t="s">
        <v>118</v>
      </c>
      <c r="F412" s="130">
        <v>1.2088650000000001</v>
      </c>
      <c r="G412" s="31">
        <f>TRUNC(52.215,2)</f>
        <v>52.21</v>
      </c>
      <c r="H412" s="161">
        <f t="shared" si="11"/>
        <v>63.11</v>
      </c>
    </row>
    <row r="413" spans="1:8" s="8" customFormat="1" ht="15" customHeight="1" x14ac:dyDescent="0.25">
      <c r="A413" s="2"/>
      <c r="B413" s="180"/>
      <c r="C413" s="218" t="s">
        <v>356</v>
      </c>
      <c r="D413" s="129" t="s">
        <v>357</v>
      </c>
      <c r="E413" s="129" t="s">
        <v>29</v>
      </c>
      <c r="F413" s="130">
        <v>409.5</v>
      </c>
      <c r="G413" s="31">
        <f>TRUNC(0.35,2)</f>
        <v>0.35</v>
      </c>
      <c r="H413" s="161">
        <f t="shared" si="11"/>
        <v>143.32</v>
      </c>
    </row>
    <row r="414" spans="1:8" s="8" customFormat="1" ht="15" customHeight="1" x14ac:dyDescent="0.25">
      <c r="A414" s="2"/>
      <c r="B414" s="180"/>
      <c r="C414" s="218" t="s">
        <v>358</v>
      </c>
      <c r="D414" s="129" t="s">
        <v>359</v>
      </c>
      <c r="E414" s="129" t="s">
        <v>24</v>
      </c>
      <c r="F414" s="130">
        <v>0.61949999999999994</v>
      </c>
      <c r="G414" s="31">
        <f>TRUNC(50,2)</f>
        <v>50</v>
      </c>
      <c r="H414" s="161">
        <f t="shared" si="11"/>
        <v>30.97</v>
      </c>
    </row>
    <row r="415" spans="1:8" s="8" customFormat="1" ht="15" customHeight="1" x14ac:dyDescent="0.25">
      <c r="A415" s="2"/>
      <c r="B415" s="180"/>
      <c r="C415" s="218" t="s">
        <v>447</v>
      </c>
      <c r="D415" s="129" t="s">
        <v>448</v>
      </c>
      <c r="E415" s="129" t="s">
        <v>24</v>
      </c>
      <c r="F415" s="130">
        <v>1</v>
      </c>
      <c r="G415" s="31">
        <f>TRUNC(90.0677,2)</f>
        <v>90.06</v>
      </c>
      <c r="H415" s="161">
        <f t="shared" si="11"/>
        <v>90.06</v>
      </c>
    </row>
    <row r="416" spans="1:8" s="8" customFormat="1" ht="15" customHeight="1" x14ac:dyDescent="0.25">
      <c r="A416" s="2"/>
      <c r="B416" s="180"/>
      <c r="C416" s="218" t="s">
        <v>398</v>
      </c>
      <c r="D416" s="129" t="s">
        <v>399</v>
      </c>
      <c r="E416" s="129" t="s">
        <v>24</v>
      </c>
      <c r="F416" s="130">
        <v>1</v>
      </c>
      <c r="G416" s="31">
        <f>TRUNC(62.5225,2)</f>
        <v>62.52</v>
      </c>
      <c r="H416" s="161">
        <f t="shared" si="11"/>
        <v>62.52</v>
      </c>
    </row>
    <row r="417" spans="1:8" s="8" customFormat="1" ht="15" customHeight="1" x14ac:dyDescent="0.25">
      <c r="A417" s="2"/>
      <c r="B417" s="180"/>
      <c r="C417" s="218"/>
      <c r="D417" s="129"/>
      <c r="E417" s="129"/>
      <c r="F417" s="130" t="s">
        <v>45</v>
      </c>
      <c r="G417" s="31"/>
      <c r="H417" s="161">
        <f>TRUNC(SUM(H412:H416),2)</f>
        <v>389.98</v>
      </c>
    </row>
    <row r="418" spans="1:8" s="8" customFormat="1" ht="15" customHeight="1" x14ac:dyDescent="0.25">
      <c r="A418" s="2"/>
      <c r="B418" s="180"/>
      <c r="C418" s="218"/>
      <c r="D418" s="129" t="s">
        <v>524</v>
      </c>
      <c r="E418" s="129"/>
      <c r="F418" s="130"/>
      <c r="G418" s="31"/>
      <c r="H418" s="161">
        <v>31.2</v>
      </c>
    </row>
    <row r="419" spans="1:8" s="8" customFormat="1" ht="15" customHeight="1" thickBot="1" x14ac:dyDescent="0.3">
      <c r="A419" s="2"/>
      <c r="B419" s="180"/>
      <c r="C419" s="218"/>
      <c r="D419" s="129"/>
      <c r="E419" s="129"/>
      <c r="F419" s="130"/>
      <c r="G419" s="31"/>
      <c r="H419" s="161"/>
    </row>
    <row r="420" spans="1:8" s="8" customFormat="1" ht="82.5" customHeight="1" x14ac:dyDescent="0.25">
      <c r="A420" s="2"/>
      <c r="B420" s="180" t="s">
        <v>760</v>
      </c>
      <c r="C420" s="221" t="s">
        <v>206</v>
      </c>
      <c r="D420" s="156" t="s">
        <v>208</v>
      </c>
      <c r="E420" s="157" t="s">
        <v>27</v>
      </c>
      <c r="F420" s="167">
        <v>1</v>
      </c>
      <c r="G420" s="159">
        <f>H395+H398+H406+H410+H418</f>
        <v>851.73</v>
      </c>
      <c r="H420" s="160">
        <f>TRUNC(F420*G420,2)</f>
        <v>851.73</v>
      </c>
    </row>
    <row r="421" spans="1:8" s="8" customFormat="1" ht="15" customHeight="1" thickBot="1" x14ac:dyDescent="0.3">
      <c r="A421" s="2"/>
      <c r="B421" s="180"/>
      <c r="C421" s="222"/>
      <c r="D421" s="168"/>
      <c r="E421" s="168"/>
      <c r="F421" s="169"/>
      <c r="G421" s="170"/>
      <c r="H421" s="171"/>
    </row>
    <row r="422" spans="1:8" s="8" customFormat="1" ht="15" customHeight="1" thickBot="1" x14ac:dyDescent="0.3">
      <c r="A422" s="2"/>
      <c r="B422" s="180"/>
      <c r="C422" s="223"/>
      <c r="D422" s="172"/>
      <c r="E422" s="172"/>
      <c r="F422" s="173"/>
      <c r="G422" s="174"/>
      <c r="H422" s="174"/>
    </row>
    <row r="423" spans="1:8" s="8" customFormat="1" ht="48" customHeight="1" x14ac:dyDescent="0.25">
      <c r="A423" s="2"/>
      <c r="B423" s="180"/>
      <c r="C423" s="217" t="s">
        <v>185</v>
      </c>
      <c r="D423" s="156" t="s">
        <v>188</v>
      </c>
      <c r="E423" s="157" t="s">
        <v>27</v>
      </c>
      <c r="F423" s="158">
        <v>1</v>
      </c>
      <c r="G423" s="159">
        <f>TRUNC(175.08,2)</f>
        <v>175.08</v>
      </c>
      <c r="H423" s="160">
        <f>TRUNC(F423*G423,2)</f>
        <v>175.08</v>
      </c>
    </row>
    <row r="424" spans="1:8" s="8" customFormat="1" ht="15" customHeight="1" x14ac:dyDescent="0.25">
      <c r="A424" s="2"/>
      <c r="B424" s="180"/>
      <c r="C424" s="218" t="s">
        <v>186</v>
      </c>
      <c r="D424" s="129" t="s">
        <v>187</v>
      </c>
      <c r="E424" s="129" t="s">
        <v>27</v>
      </c>
      <c r="F424" s="130">
        <v>1</v>
      </c>
      <c r="G424" s="31">
        <f>TRUNC(175.08,2)</f>
        <v>175.08</v>
      </c>
      <c r="H424" s="161">
        <f>TRUNC(F424*G424,2)</f>
        <v>175.08</v>
      </c>
    </row>
    <row r="425" spans="1:8" s="8" customFormat="1" ht="15" customHeight="1" x14ac:dyDescent="0.25">
      <c r="A425" s="2"/>
      <c r="B425" s="180"/>
      <c r="C425" s="218"/>
      <c r="D425" s="129"/>
      <c r="E425" s="129"/>
      <c r="F425" s="130" t="s">
        <v>45</v>
      </c>
      <c r="G425" s="31"/>
      <c r="H425" s="161">
        <f>TRUNC(SUM(H424:H424),2)</f>
        <v>175.08</v>
      </c>
    </row>
    <row r="426" spans="1:8" s="8" customFormat="1" ht="15" customHeight="1" x14ac:dyDescent="0.25">
      <c r="A426" s="2"/>
      <c r="B426" s="180"/>
      <c r="C426" s="218" t="s">
        <v>519</v>
      </c>
      <c r="D426" s="129" t="s">
        <v>520</v>
      </c>
      <c r="E426" s="129" t="s">
        <v>27</v>
      </c>
      <c r="F426" s="130">
        <v>1</v>
      </c>
      <c r="G426" s="31">
        <f>TRUNC(108.665,2)</f>
        <v>108.66</v>
      </c>
      <c r="H426" s="161">
        <f>TRUNC(F426*G426,2)</f>
        <v>108.66</v>
      </c>
    </row>
    <row r="427" spans="1:8" s="8" customFormat="1" ht="15" customHeight="1" x14ac:dyDescent="0.25">
      <c r="A427" s="2"/>
      <c r="B427" s="180"/>
      <c r="C427" s="218" t="s">
        <v>521</v>
      </c>
      <c r="D427" s="129" t="s">
        <v>522</v>
      </c>
      <c r="E427" s="129" t="s">
        <v>44</v>
      </c>
      <c r="F427" s="130">
        <v>10.3</v>
      </c>
      <c r="G427" s="31">
        <f>TRUNC(10.55,2)</f>
        <v>10.55</v>
      </c>
      <c r="H427" s="161">
        <f>TRUNC(F427*G427,2)</f>
        <v>108.66</v>
      </c>
    </row>
    <row r="428" spans="1:8" s="8" customFormat="1" ht="15" customHeight="1" x14ac:dyDescent="0.25">
      <c r="A428" s="2"/>
      <c r="B428" s="180"/>
      <c r="C428" s="218"/>
      <c r="D428" s="129"/>
      <c r="E428" s="129"/>
      <c r="F428" s="130" t="s">
        <v>45</v>
      </c>
      <c r="G428" s="31"/>
      <c r="H428" s="161">
        <f>TRUNC(SUM(H427:H427),2)</f>
        <v>108.66</v>
      </c>
    </row>
    <row r="429" spans="1:8" s="8" customFormat="1" ht="15" customHeight="1" x14ac:dyDescent="0.25">
      <c r="A429" s="2"/>
      <c r="B429" s="180"/>
      <c r="C429" s="218" t="s">
        <v>406</v>
      </c>
      <c r="D429" s="129" t="s">
        <v>248</v>
      </c>
      <c r="E429" s="129" t="s">
        <v>24</v>
      </c>
      <c r="F429" s="130">
        <v>1</v>
      </c>
      <c r="G429" s="31">
        <f>H431</f>
        <v>43.91</v>
      </c>
      <c r="H429" s="161">
        <f>TRUNC(F429*G429,2)</f>
        <v>43.91</v>
      </c>
    </row>
    <row r="430" spans="1:8" s="8" customFormat="1" ht="15" customHeight="1" x14ac:dyDescent="0.25">
      <c r="A430" s="2"/>
      <c r="B430" s="180"/>
      <c r="C430" s="218" t="s">
        <v>42</v>
      </c>
      <c r="D430" s="129" t="s">
        <v>43</v>
      </c>
      <c r="E430" s="129" t="s">
        <v>44</v>
      </c>
      <c r="F430" s="130">
        <v>3.5019999999999998</v>
      </c>
      <c r="G430" s="31">
        <v>12.54</v>
      </c>
      <c r="H430" s="161">
        <f>TRUNC(F430*G430,2)</f>
        <v>43.91</v>
      </c>
    </row>
    <row r="431" spans="1:8" s="8" customFormat="1" ht="15" customHeight="1" x14ac:dyDescent="0.25">
      <c r="A431" s="2"/>
      <c r="B431" s="180"/>
      <c r="C431" s="218"/>
      <c r="D431" s="129"/>
      <c r="E431" s="129"/>
      <c r="F431" s="130" t="s">
        <v>45</v>
      </c>
      <c r="G431" s="31"/>
      <c r="H431" s="161">
        <f>TRUNC(SUM(H430:H430),2)</f>
        <v>43.91</v>
      </c>
    </row>
    <row r="432" spans="1:8" s="8" customFormat="1" ht="15" customHeight="1" x14ac:dyDescent="0.25">
      <c r="A432" s="2"/>
      <c r="B432" s="180"/>
      <c r="C432" s="218"/>
      <c r="D432" s="129" t="s">
        <v>525</v>
      </c>
      <c r="E432" s="129"/>
      <c r="F432" s="130"/>
      <c r="G432" s="31"/>
      <c r="H432" s="161">
        <v>7.02</v>
      </c>
    </row>
    <row r="433" spans="1:8" s="8" customFormat="1" ht="15" customHeight="1" x14ac:dyDescent="0.25">
      <c r="A433" s="2"/>
      <c r="B433" s="180"/>
      <c r="C433" s="218" t="s">
        <v>437</v>
      </c>
      <c r="D433" s="129" t="s">
        <v>451</v>
      </c>
      <c r="E433" s="129" t="s">
        <v>24</v>
      </c>
      <c r="F433" s="130">
        <v>1</v>
      </c>
      <c r="G433" s="31">
        <f>H439</f>
        <v>389.98</v>
      </c>
      <c r="H433" s="161">
        <f t="shared" ref="H433:H438" si="12">TRUNC(F433*G433,2)</f>
        <v>389.98</v>
      </c>
    </row>
    <row r="434" spans="1:8" s="8" customFormat="1" ht="15" customHeight="1" x14ac:dyDescent="0.25">
      <c r="A434" s="2"/>
      <c r="B434" s="180"/>
      <c r="C434" s="218" t="s">
        <v>347</v>
      </c>
      <c r="D434" s="129" t="s">
        <v>348</v>
      </c>
      <c r="E434" s="129" t="s">
        <v>118</v>
      </c>
      <c r="F434" s="130">
        <v>1.2088650000000001</v>
      </c>
      <c r="G434" s="31">
        <f>TRUNC(52.215,2)</f>
        <v>52.21</v>
      </c>
      <c r="H434" s="161">
        <f t="shared" si="12"/>
        <v>63.11</v>
      </c>
    </row>
    <row r="435" spans="1:8" s="8" customFormat="1" ht="15" customHeight="1" x14ac:dyDescent="0.25">
      <c r="A435" s="2"/>
      <c r="B435" s="180"/>
      <c r="C435" s="218" t="s">
        <v>356</v>
      </c>
      <c r="D435" s="129" t="s">
        <v>357</v>
      </c>
      <c r="E435" s="129" t="s">
        <v>29</v>
      </c>
      <c r="F435" s="130">
        <v>409.5</v>
      </c>
      <c r="G435" s="31">
        <f>TRUNC(0.35,2)</f>
        <v>0.35</v>
      </c>
      <c r="H435" s="161">
        <f t="shared" si="12"/>
        <v>143.32</v>
      </c>
    </row>
    <row r="436" spans="1:8" s="8" customFormat="1" ht="15" customHeight="1" x14ac:dyDescent="0.25">
      <c r="A436" s="2"/>
      <c r="B436" s="180"/>
      <c r="C436" s="218" t="s">
        <v>358</v>
      </c>
      <c r="D436" s="129" t="s">
        <v>359</v>
      </c>
      <c r="E436" s="129" t="s">
        <v>24</v>
      </c>
      <c r="F436" s="130">
        <v>0.61949999999999994</v>
      </c>
      <c r="G436" s="31">
        <f>TRUNC(50,2)</f>
        <v>50</v>
      </c>
      <c r="H436" s="161">
        <f t="shared" si="12"/>
        <v>30.97</v>
      </c>
    </row>
    <row r="437" spans="1:8" s="8" customFormat="1" ht="15" customHeight="1" x14ac:dyDescent="0.25">
      <c r="A437" s="2"/>
      <c r="B437" s="180"/>
      <c r="C437" s="218" t="s">
        <v>447</v>
      </c>
      <c r="D437" s="129" t="s">
        <v>448</v>
      </c>
      <c r="E437" s="129" t="s">
        <v>24</v>
      </c>
      <c r="F437" s="130">
        <v>1</v>
      </c>
      <c r="G437" s="31">
        <f>TRUNC(90.0677,2)</f>
        <v>90.06</v>
      </c>
      <c r="H437" s="161">
        <f t="shared" si="12"/>
        <v>90.06</v>
      </c>
    </row>
    <row r="438" spans="1:8" s="8" customFormat="1" ht="15" customHeight="1" x14ac:dyDescent="0.25">
      <c r="A438" s="2"/>
      <c r="B438" s="180"/>
      <c r="C438" s="218" t="s">
        <v>398</v>
      </c>
      <c r="D438" s="129" t="s">
        <v>399</v>
      </c>
      <c r="E438" s="129" t="s">
        <v>24</v>
      </c>
      <c r="F438" s="130">
        <v>1</v>
      </c>
      <c r="G438" s="31">
        <f>TRUNC(62.5225,2)</f>
        <v>62.52</v>
      </c>
      <c r="H438" s="161">
        <f t="shared" si="12"/>
        <v>62.52</v>
      </c>
    </row>
    <row r="439" spans="1:8" s="8" customFormat="1" ht="15" customHeight="1" x14ac:dyDescent="0.25">
      <c r="A439" s="2"/>
      <c r="B439" s="180"/>
      <c r="C439" s="218"/>
      <c r="D439" s="129"/>
      <c r="E439" s="129"/>
      <c r="F439" s="130" t="s">
        <v>45</v>
      </c>
      <c r="G439" s="31"/>
      <c r="H439" s="161">
        <f>TRUNC(SUM(H434:H438),2)</f>
        <v>389.98</v>
      </c>
    </row>
    <row r="440" spans="1:8" s="8" customFormat="1" ht="15" customHeight="1" x14ac:dyDescent="0.25">
      <c r="A440" s="2"/>
      <c r="B440" s="180"/>
      <c r="C440" s="218"/>
      <c r="D440" s="129" t="s">
        <v>526</v>
      </c>
      <c r="E440" s="129"/>
      <c r="F440" s="130"/>
      <c r="G440" s="31"/>
      <c r="H440" s="161">
        <v>62.4</v>
      </c>
    </row>
    <row r="441" spans="1:8" s="8" customFormat="1" ht="15" customHeight="1" x14ac:dyDescent="0.25">
      <c r="A441" s="2"/>
      <c r="B441" s="180"/>
      <c r="C441" s="218"/>
      <c r="D441" s="129"/>
      <c r="E441" s="129"/>
      <c r="F441" s="130"/>
      <c r="G441" s="31"/>
      <c r="H441" s="161"/>
    </row>
    <row r="442" spans="1:8" s="8" customFormat="1" ht="15" customHeight="1" thickBot="1" x14ac:dyDescent="0.3">
      <c r="A442" s="2"/>
      <c r="B442" s="180"/>
      <c r="C442" s="218"/>
      <c r="D442" s="129"/>
      <c r="E442" s="129"/>
      <c r="F442" s="130"/>
      <c r="G442" s="31"/>
      <c r="H442" s="161"/>
    </row>
    <row r="443" spans="1:8" s="8" customFormat="1" ht="87.75" customHeight="1" thickBot="1" x14ac:dyDescent="0.3">
      <c r="A443" s="2"/>
      <c r="B443" s="180" t="s">
        <v>761</v>
      </c>
      <c r="C443" s="224" t="s">
        <v>207</v>
      </c>
      <c r="D443" s="175" t="s">
        <v>209</v>
      </c>
      <c r="E443" s="172" t="s">
        <v>27</v>
      </c>
      <c r="F443" s="176">
        <v>1</v>
      </c>
      <c r="G443" s="174">
        <f>H425+H428+H432+H440</f>
        <v>353.15999999999997</v>
      </c>
      <c r="H443" s="177">
        <f>TRUNC(F443*G443,2)</f>
        <v>353.16</v>
      </c>
    </row>
    <row r="445" spans="1:8" x14ac:dyDescent="0.25">
      <c r="B445" s="17" t="s">
        <v>833</v>
      </c>
      <c r="C445" s="178" t="s">
        <v>527</v>
      </c>
      <c r="D445" s="2" t="s">
        <v>177</v>
      </c>
      <c r="E445" s="2" t="s">
        <v>23</v>
      </c>
      <c r="F445" s="1">
        <v>1</v>
      </c>
      <c r="G445" s="1">
        <f>H450</f>
        <v>4.3</v>
      </c>
      <c r="H445" s="1">
        <f>TRUNC(F445*G445,2)</f>
        <v>4.3</v>
      </c>
    </row>
    <row r="446" spans="1:8" x14ac:dyDescent="0.25">
      <c r="C446" s="178" t="s">
        <v>528</v>
      </c>
      <c r="D446" s="2" t="s">
        <v>82</v>
      </c>
      <c r="E446" s="2" t="s">
        <v>27</v>
      </c>
      <c r="F446" s="1">
        <v>8.9999999999999993E-3</v>
      </c>
      <c r="G446" s="1">
        <f>TRUNC(4.43,2)</f>
        <v>4.43</v>
      </c>
      <c r="H446" s="1">
        <f>TRUNC(F446*G446,2)</f>
        <v>0.03</v>
      </c>
    </row>
    <row r="447" spans="1:8" x14ac:dyDescent="0.25">
      <c r="C447" s="178" t="s">
        <v>529</v>
      </c>
      <c r="D447" s="2" t="s">
        <v>178</v>
      </c>
      <c r="E447" s="2" t="s">
        <v>23</v>
      </c>
      <c r="F447" s="1">
        <v>1.19</v>
      </c>
      <c r="G447" s="1">
        <f>TRUNC(2.17,2)</f>
        <v>2.17</v>
      </c>
      <c r="H447" s="1">
        <f>TRUNC(F447*G447,2)</f>
        <v>2.58</v>
      </c>
    </row>
    <row r="448" spans="1:8" x14ac:dyDescent="0.25">
      <c r="C448" s="178" t="s">
        <v>404</v>
      </c>
      <c r="D448" s="2" t="s">
        <v>56</v>
      </c>
      <c r="E448" s="2" t="s">
        <v>44</v>
      </c>
      <c r="F448" s="1">
        <v>0.04</v>
      </c>
      <c r="G448" s="1">
        <f>TRUNC(23.83,2)</f>
        <v>23.83</v>
      </c>
      <c r="H448" s="1">
        <f>TRUNC(F448*G448,2)</f>
        <v>0.95</v>
      </c>
    </row>
    <row r="449" spans="2:8" x14ac:dyDescent="0.25">
      <c r="C449" s="178" t="s">
        <v>497</v>
      </c>
      <c r="D449" s="2" t="s">
        <v>57</v>
      </c>
      <c r="E449" s="2" t="s">
        <v>44</v>
      </c>
      <c r="F449" s="1">
        <v>0.04</v>
      </c>
      <c r="G449" s="1">
        <f>TRUNC(18.55,2)</f>
        <v>18.55</v>
      </c>
      <c r="H449" s="1">
        <f>TRUNC(F449*G449,2)</f>
        <v>0.74</v>
      </c>
    </row>
    <row r="450" spans="2:8" x14ac:dyDescent="0.25">
      <c r="C450" s="178"/>
      <c r="F450" s="1" t="s">
        <v>45</v>
      </c>
      <c r="H450" s="1">
        <f>TRUNC(SUM(H446:H449),2)</f>
        <v>4.3</v>
      </c>
    </row>
    <row r="451" spans="2:8" x14ac:dyDescent="0.25">
      <c r="B451" s="17" t="s">
        <v>764</v>
      </c>
      <c r="C451" s="184" t="s">
        <v>530</v>
      </c>
      <c r="D451" s="2" t="s">
        <v>531</v>
      </c>
      <c r="E451" s="2" t="s">
        <v>23</v>
      </c>
      <c r="F451" s="1">
        <v>1</v>
      </c>
      <c r="G451" s="1">
        <f>H455</f>
        <v>9.67</v>
      </c>
      <c r="H451" s="1">
        <f>TRUNC(F451*G451,2)</f>
        <v>9.67</v>
      </c>
    </row>
    <row r="452" spans="2:8" x14ac:dyDescent="0.25">
      <c r="C452" s="184" t="s">
        <v>532</v>
      </c>
      <c r="D452" s="2" t="s">
        <v>83</v>
      </c>
      <c r="E452" s="2" t="s">
        <v>23</v>
      </c>
      <c r="F452" s="1">
        <v>1.0169999999999999</v>
      </c>
      <c r="G452" s="1">
        <f>TRUNC(2.69,2)</f>
        <v>2.69</v>
      </c>
      <c r="H452" s="1">
        <f>TRUNC(F452*G452,2)</f>
        <v>2.73</v>
      </c>
    </row>
    <row r="453" spans="2:8" x14ac:dyDescent="0.25">
      <c r="C453" s="184" t="s">
        <v>404</v>
      </c>
      <c r="D453" s="2" t="s">
        <v>56</v>
      </c>
      <c r="E453" s="2" t="s">
        <v>44</v>
      </c>
      <c r="F453" s="1">
        <v>0.16400000000000001</v>
      </c>
      <c r="G453" s="1">
        <f>TRUNC(23.83,2)</f>
        <v>23.83</v>
      </c>
      <c r="H453" s="1">
        <f>TRUNC(F453*G453,2)</f>
        <v>3.9</v>
      </c>
    </row>
    <row r="454" spans="2:8" x14ac:dyDescent="0.25">
      <c r="C454" s="184" t="s">
        <v>497</v>
      </c>
      <c r="D454" s="2" t="s">
        <v>57</v>
      </c>
      <c r="E454" s="2" t="s">
        <v>44</v>
      </c>
      <c r="F454" s="1">
        <v>0.16400000000000001</v>
      </c>
      <c r="G454" s="1">
        <f>TRUNC(18.55,2)</f>
        <v>18.55</v>
      </c>
      <c r="H454" s="1">
        <f>TRUNC(F454*G454,2)</f>
        <v>3.04</v>
      </c>
    </row>
    <row r="455" spans="2:8" x14ac:dyDescent="0.25">
      <c r="F455" s="1" t="s">
        <v>45</v>
      </c>
      <c r="H455" s="1">
        <f>TRUNC(SUM(H452:H454),2)</f>
        <v>9.67</v>
      </c>
    </row>
    <row r="456" spans="2:8" x14ac:dyDescent="0.25">
      <c r="B456" s="17" t="s">
        <v>770</v>
      </c>
      <c r="C456" s="184" t="s">
        <v>841</v>
      </c>
      <c r="D456" s="2" t="s">
        <v>842</v>
      </c>
      <c r="E456" s="2" t="s">
        <v>27</v>
      </c>
      <c r="F456" s="1">
        <v>1</v>
      </c>
      <c r="G456" s="1">
        <f>H461</f>
        <v>53.59</v>
      </c>
      <c r="H456" s="1">
        <f>TRUNC(F456*G456,2)</f>
        <v>53.59</v>
      </c>
    </row>
    <row r="457" spans="2:8" x14ac:dyDescent="0.25">
      <c r="C457" s="184" t="s">
        <v>534</v>
      </c>
      <c r="D457" s="2" t="s">
        <v>55</v>
      </c>
      <c r="E457" s="2" t="s">
        <v>27</v>
      </c>
      <c r="F457" s="1">
        <v>1</v>
      </c>
      <c r="G457" s="1">
        <f>TRUNC(48.46,2)</f>
        <v>48.46</v>
      </c>
      <c r="H457" s="1">
        <f>TRUNC(F457*G457,2)</f>
        <v>48.46</v>
      </c>
    </row>
    <row r="458" spans="2:8" x14ac:dyDescent="0.25">
      <c r="C458" s="184" t="s">
        <v>535</v>
      </c>
      <c r="D458" s="2" t="s">
        <v>182</v>
      </c>
      <c r="E458" s="2" t="s">
        <v>27</v>
      </c>
      <c r="F458" s="1">
        <v>2</v>
      </c>
      <c r="G458" s="1">
        <f>TRUNC(0.51,2)</f>
        <v>0.51</v>
      </c>
      <c r="H458" s="1">
        <f>TRUNC(F458*G458,2)</f>
        <v>1.02</v>
      </c>
    </row>
    <row r="459" spans="2:8" x14ac:dyDescent="0.25">
      <c r="C459" s="184" t="s">
        <v>404</v>
      </c>
      <c r="D459" s="2" t="s">
        <v>56</v>
      </c>
      <c r="E459" s="2" t="s">
        <v>44</v>
      </c>
      <c r="F459" s="1">
        <v>9.5000000000000001E-2</v>
      </c>
      <c r="G459" s="1">
        <f>TRUNC(24.29,2)</f>
        <v>24.29</v>
      </c>
      <c r="H459" s="1">
        <f>TRUNC(F459*G459,2)</f>
        <v>2.2999999999999998</v>
      </c>
    </row>
    <row r="460" spans="2:8" x14ac:dyDescent="0.25">
      <c r="C460" s="184" t="s">
        <v>497</v>
      </c>
      <c r="D460" s="2" t="s">
        <v>57</v>
      </c>
      <c r="E460" s="2" t="s">
        <v>44</v>
      </c>
      <c r="F460" s="1">
        <v>9.5000000000000001E-2</v>
      </c>
      <c r="G460" s="1">
        <f>TRUNC(19.1,2)</f>
        <v>19.100000000000001</v>
      </c>
      <c r="H460" s="1">
        <f>TRUNC(F460*G460,2)</f>
        <v>1.81</v>
      </c>
    </row>
    <row r="461" spans="2:8" x14ac:dyDescent="0.25">
      <c r="F461" s="1" t="s">
        <v>45</v>
      </c>
      <c r="H461" s="1">
        <f>TRUNC(SUM(H457:H460),2)</f>
        <v>53.59</v>
      </c>
    </row>
    <row r="462" spans="2:8" x14ac:dyDescent="0.25">
      <c r="B462" s="17" t="s">
        <v>771</v>
      </c>
      <c r="C462" s="184" t="s">
        <v>843</v>
      </c>
      <c r="D462" s="2" t="s">
        <v>844</v>
      </c>
      <c r="E462" s="2" t="s">
        <v>27</v>
      </c>
      <c r="F462" s="1">
        <v>1</v>
      </c>
      <c r="G462" s="1">
        <f>H467</f>
        <v>87.03</v>
      </c>
      <c r="H462" s="1">
        <f>TRUNC(F462*G462,2)</f>
        <v>87.03</v>
      </c>
    </row>
    <row r="463" spans="2:8" x14ac:dyDescent="0.25">
      <c r="C463" s="184" t="s">
        <v>536</v>
      </c>
      <c r="D463" s="2" t="s">
        <v>81</v>
      </c>
      <c r="E463" s="2" t="s">
        <v>27</v>
      </c>
      <c r="F463" s="1">
        <v>1</v>
      </c>
      <c r="G463" s="1">
        <f>TRUNC(59.37,2)</f>
        <v>59.37</v>
      </c>
      <c r="H463" s="1">
        <f>TRUNC(F463*G463,2)</f>
        <v>59.37</v>
      </c>
    </row>
    <row r="464" spans="2:8" x14ac:dyDescent="0.25">
      <c r="C464" s="184" t="s">
        <v>845</v>
      </c>
      <c r="D464" s="2" t="s">
        <v>846</v>
      </c>
      <c r="E464" s="2" t="s">
        <v>27</v>
      </c>
      <c r="F464" s="1">
        <v>3</v>
      </c>
      <c r="G464" s="1">
        <f>TRUNC(1.01,2)</f>
        <v>1.01</v>
      </c>
      <c r="H464" s="1">
        <f>TRUNC(F464*G464,2)</f>
        <v>3.03</v>
      </c>
    </row>
    <row r="465" spans="2:8" x14ac:dyDescent="0.25">
      <c r="C465" s="184" t="s">
        <v>404</v>
      </c>
      <c r="D465" s="2" t="s">
        <v>56</v>
      </c>
      <c r="E465" s="2" t="s">
        <v>44</v>
      </c>
      <c r="F465" s="1">
        <v>0.56799999999999995</v>
      </c>
      <c r="G465" s="1">
        <f>TRUNC(24.29,2)</f>
        <v>24.29</v>
      </c>
      <c r="H465" s="1">
        <f>TRUNC(F465*G465,2)</f>
        <v>13.79</v>
      </c>
    </row>
    <row r="466" spans="2:8" x14ac:dyDescent="0.25">
      <c r="C466" s="184" t="s">
        <v>497</v>
      </c>
      <c r="D466" s="2" t="s">
        <v>57</v>
      </c>
      <c r="E466" s="2" t="s">
        <v>44</v>
      </c>
      <c r="F466" s="1">
        <v>0.56799999999999995</v>
      </c>
      <c r="G466" s="1">
        <f>TRUNC(19.1,2)</f>
        <v>19.100000000000001</v>
      </c>
      <c r="H466" s="1">
        <f>TRUNC(F466*G466,2)</f>
        <v>10.84</v>
      </c>
    </row>
    <row r="467" spans="2:8" x14ac:dyDescent="0.25">
      <c r="F467" s="1" t="s">
        <v>45</v>
      </c>
      <c r="H467" s="1">
        <f>TRUNC(SUM(H463:H466),2)</f>
        <v>87.03</v>
      </c>
    </row>
    <row r="468" spans="2:8" x14ac:dyDescent="0.25">
      <c r="B468" s="17" t="s">
        <v>772</v>
      </c>
      <c r="C468" s="178" t="s">
        <v>533</v>
      </c>
      <c r="D468" s="2" t="s">
        <v>183</v>
      </c>
      <c r="E468" s="2" t="s">
        <v>27</v>
      </c>
      <c r="F468" s="1">
        <v>1</v>
      </c>
      <c r="G468" s="1">
        <f>H472</f>
        <v>303.63</v>
      </c>
      <c r="H468" s="1">
        <f>TRUNC(F468*G468,2)</f>
        <v>303.63</v>
      </c>
    </row>
    <row r="469" spans="2:8" x14ac:dyDescent="0.25">
      <c r="C469" s="178" t="s">
        <v>537</v>
      </c>
      <c r="D469" s="2" t="s">
        <v>184</v>
      </c>
      <c r="E469" s="2" t="s">
        <v>27</v>
      </c>
      <c r="F469" s="1">
        <v>1</v>
      </c>
      <c r="G469" s="1">
        <f>TRUNC(197.69,2)</f>
        <v>197.69</v>
      </c>
      <c r="H469" s="1">
        <f>TRUNC(F469*G469,2)</f>
        <v>197.69</v>
      </c>
    </row>
    <row r="470" spans="2:8" x14ac:dyDescent="0.25">
      <c r="C470" s="178" t="s">
        <v>404</v>
      </c>
      <c r="D470" s="2" t="s">
        <v>56</v>
      </c>
      <c r="E470" s="2" t="s">
        <v>44</v>
      </c>
      <c r="F470" s="1">
        <v>2.5</v>
      </c>
      <c r="G470" s="1">
        <f>TRUNC(23.83,2)</f>
        <v>23.83</v>
      </c>
      <c r="H470" s="1">
        <f>TRUNC(F470*G470,2)</f>
        <v>59.57</v>
      </c>
    </row>
    <row r="471" spans="2:8" x14ac:dyDescent="0.25">
      <c r="C471" s="178" t="s">
        <v>497</v>
      </c>
      <c r="D471" s="2" t="s">
        <v>57</v>
      </c>
      <c r="E471" s="2" t="s">
        <v>44</v>
      </c>
      <c r="F471" s="1">
        <v>2.5</v>
      </c>
      <c r="G471" s="1">
        <f>TRUNC(18.55,2)</f>
        <v>18.55</v>
      </c>
      <c r="H471" s="1">
        <f>TRUNC(F471*G471,2)</f>
        <v>46.37</v>
      </c>
    </row>
    <row r="472" spans="2:8" x14ac:dyDescent="0.25">
      <c r="C472" s="178"/>
      <c r="F472" s="1" t="s">
        <v>45</v>
      </c>
      <c r="H472" s="1">
        <f>TRUNC(SUM(H469:H471),2)</f>
        <v>303.63</v>
      </c>
    </row>
    <row r="473" spans="2:8" ht="177.75" customHeight="1" x14ac:dyDescent="0.25">
      <c r="B473" s="17" t="s">
        <v>773</v>
      </c>
      <c r="C473" s="216" t="s">
        <v>876</v>
      </c>
      <c r="D473" s="196" t="s">
        <v>879</v>
      </c>
      <c r="E473" s="2" t="s">
        <v>27</v>
      </c>
      <c r="F473" s="1">
        <v>1</v>
      </c>
      <c r="G473" s="1">
        <f>H494</f>
        <v>934.48</v>
      </c>
      <c r="H473" s="1">
        <f>TRUNC(F473*G473,2)</f>
        <v>934.48</v>
      </c>
    </row>
    <row r="474" spans="2:8" x14ac:dyDescent="0.25">
      <c r="C474" s="178" t="s">
        <v>848</v>
      </c>
      <c r="D474" s="2" t="s">
        <v>849</v>
      </c>
      <c r="E474" s="2" t="s">
        <v>27</v>
      </c>
      <c r="F474" s="1">
        <v>1</v>
      </c>
      <c r="G474" s="1">
        <f>TRUNC(21.21,2)</f>
        <v>21.21</v>
      </c>
      <c r="H474" s="1">
        <f>TRUNC(F474*G474,2)</f>
        <v>21.21</v>
      </c>
    </row>
    <row r="475" spans="2:8" x14ac:dyDescent="0.25">
      <c r="C475" s="178" t="s">
        <v>850</v>
      </c>
      <c r="D475" s="2" t="s">
        <v>851</v>
      </c>
      <c r="F475" s="1">
        <v>1</v>
      </c>
      <c r="G475" s="1">
        <f>TRUNC(5.03,2)</f>
        <v>5.03</v>
      </c>
      <c r="H475" s="1">
        <f>TRUNC(F475*G475,2)</f>
        <v>5.03</v>
      </c>
    </row>
    <row r="476" spans="2:8" x14ac:dyDescent="0.25">
      <c r="C476" s="178" t="s">
        <v>852</v>
      </c>
      <c r="D476" s="2" t="s">
        <v>853</v>
      </c>
      <c r="E476" s="2" t="s">
        <v>29</v>
      </c>
      <c r="F476" s="1">
        <v>0.15</v>
      </c>
      <c r="G476" s="1">
        <f>TRUNC(38.843,2)</f>
        <v>38.840000000000003</v>
      </c>
      <c r="H476" s="1">
        <f>TRUNC(F476*G476,2)</f>
        <v>5.82</v>
      </c>
    </row>
    <row r="477" spans="2:8" x14ac:dyDescent="0.25">
      <c r="C477" s="225" t="s">
        <v>854</v>
      </c>
      <c r="D477" s="91" t="s">
        <v>855</v>
      </c>
      <c r="E477" s="91" t="s">
        <v>27</v>
      </c>
      <c r="F477" s="92">
        <v>2</v>
      </c>
      <c r="G477" s="92">
        <f>TRUNC(4.14,2)</f>
        <v>4.1399999999999997</v>
      </c>
      <c r="H477" s="92">
        <f t="shared" ref="H477:H478" si="13">TRUNC(F477*G477,2)</f>
        <v>8.2799999999999994</v>
      </c>
    </row>
    <row r="478" spans="2:8" x14ac:dyDescent="0.25">
      <c r="C478" s="178" t="s">
        <v>877</v>
      </c>
      <c r="D478" s="2" t="s">
        <v>878</v>
      </c>
      <c r="E478" s="2" t="s">
        <v>27</v>
      </c>
      <c r="F478" s="1">
        <v>2</v>
      </c>
      <c r="G478" s="1">
        <v>13.34</v>
      </c>
      <c r="H478" s="1">
        <f t="shared" si="13"/>
        <v>26.68</v>
      </c>
    </row>
    <row r="479" spans="2:8" x14ac:dyDescent="0.25">
      <c r="C479" s="178" t="s">
        <v>856</v>
      </c>
      <c r="D479" s="2" t="s">
        <v>857</v>
      </c>
      <c r="E479" s="2" t="s">
        <v>27</v>
      </c>
      <c r="F479" s="1">
        <v>2</v>
      </c>
      <c r="G479" s="1">
        <f>TRUNC(0.5,2)</f>
        <v>0.5</v>
      </c>
      <c r="H479" s="1">
        <f t="shared" ref="H479:H493" si="14">TRUNC(F479*G479,2)</f>
        <v>1</v>
      </c>
    </row>
    <row r="480" spans="2:8" x14ac:dyDescent="0.25">
      <c r="C480" s="178" t="s">
        <v>858</v>
      </c>
      <c r="D480" s="2" t="s">
        <v>859</v>
      </c>
      <c r="E480" s="2" t="s">
        <v>27</v>
      </c>
      <c r="F480" s="1">
        <v>2</v>
      </c>
      <c r="G480" s="1">
        <f>TRUNC(0.81,2)</f>
        <v>0.81</v>
      </c>
      <c r="H480" s="1">
        <f t="shared" si="14"/>
        <v>1.62</v>
      </c>
    </row>
    <row r="481" spans="2:8" x14ac:dyDescent="0.25">
      <c r="C481" s="178" t="s">
        <v>860</v>
      </c>
      <c r="D481" s="2" t="s">
        <v>861</v>
      </c>
      <c r="F481" s="1">
        <v>1</v>
      </c>
      <c r="G481" s="1">
        <f>TRUNC(21.03,2)</f>
        <v>21.03</v>
      </c>
      <c r="H481" s="1">
        <f t="shared" si="14"/>
        <v>21.03</v>
      </c>
    </row>
    <row r="482" spans="2:8" x14ac:dyDescent="0.25">
      <c r="C482" s="178" t="s">
        <v>862</v>
      </c>
      <c r="D482" s="2" t="s">
        <v>863</v>
      </c>
      <c r="E482" s="2" t="s">
        <v>27</v>
      </c>
      <c r="F482" s="1">
        <v>2</v>
      </c>
      <c r="G482" s="1">
        <f>TRUNC(0.71,2)</f>
        <v>0.71</v>
      </c>
      <c r="H482" s="1">
        <f t="shared" si="14"/>
        <v>1.42</v>
      </c>
    </row>
    <row r="483" spans="2:8" x14ac:dyDescent="0.25">
      <c r="C483" s="178" t="s">
        <v>864</v>
      </c>
      <c r="D483" s="2" t="s">
        <v>865</v>
      </c>
      <c r="E483" s="2" t="s">
        <v>27</v>
      </c>
      <c r="F483" s="1">
        <v>3</v>
      </c>
      <c r="G483" s="1">
        <f>TRUNC(3.53,2)</f>
        <v>3.53</v>
      </c>
      <c r="H483" s="1">
        <f t="shared" si="14"/>
        <v>10.59</v>
      </c>
    </row>
    <row r="484" spans="2:8" x14ac:dyDescent="0.25">
      <c r="C484" s="178" t="s">
        <v>866</v>
      </c>
      <c r="D484" s="2" t="s">
        <v>867</v>
      </c>
      <c r="E484" s="2" t="s">
        <v>27</v>
      </c>
      <c r="F484" s="1">
        <v>1</v>
      </c>
      <c r="G484" s="1">
        <f>TRUNC(3.25,2)</f>
        <v>3.25</v>
      </c>
      <c r="H484" s="1">
        <f t="shared" si="14"/>
        <v>3.25</v>
      </c>
    </row>
    <row r="485" spans="2:8" x14ac:dyDescent="0.25">
      <c r="C485" s="225" t="s">
        <v>868</v>
      </c>
      <c r="D485" s="91" t="s">
        <v>869</v>
      </c>
      <c r="E485" s="91" t="s">
        <v>27</v>
      </c>
      <c r="F485" s="92">
        <v>1</v>
      </c>
      <c r="G485" s="92">
        <f>TRUNC(50.47,2)</f>
        <v>50.47</v>
      </c>
      <c r="H485" s="92">
        <f t="shared" si="14"/>
        <v>50.47</v>
      </c>
    </row>
    <row r="486" spans="2:8" x14ac:dyDescent="0.25">
      <c r="C486" s="178" t="s">
        <v>196</v>
      </c>
      <c r="D486" s="2" t="s">
        <v>880</v>
      </c>
      <c r="E486" s="2" t="s">
        <v>27</v>
      </c>
      <c r="F486" s="1">
        <v>1</v>
      </c>
      <c r="G486" s="1">
        <v>58.79</v>
      </c>
      <c r="H486" s="1">
        <f t="shared" si="14"/>
        <v>58.79</v>
      </c>
    </row>
    <row r="487" spans="2:8" x14ac:dyDescent="0.25">
      <c r="C487" s="225" t="s">
        <v>870</v>
      </c>
      <c r="D487" s="91" t="s">
        <v>871</v>
      </c>
      <c r="E487" s="91" t="s">
        <v>27</v>
      </c>
      <c r="F487" s="92">
        <v>1</v>
      </c>
      <c r="G487" s="92">
        <f>TRUNC(16.37,2)</f>
        <v>16.37</v>
      </c>
      <c r="H487" s="92">
        <f t="shared" si="14"/>
        <v>16.37</v>
      </c>
    </row>
    <row r="488" spans="2:8" ht="30" x14ac:dyDescent="0.25">
      <c r="C488" s="178" t="s">
        <v>881</v>
      </c>
      <c r="D488" s="196" t="s">
        <v>882</v>
      </c>
      <c r="E488" s="2" t="s">
        <v>27</v>
      </c>
      <c r="F488" s="1">
        <v>1</v>
      </c>
      <c r="G488" s="1">
        <v>40.659999999999997</v>
      </c>
      <c r="H488" s="1">
        <f t="shared" si="14"/>
        <v>40.659999999999997</v>
      </c>
    </row>
    <row r="489" spans="2:8" x14ac:dyDescent="0.25">
      <c r="C489" s="178" t="s">
        <v>872</v>
      </c>
      <c r="D489" s="2" t="s">
        <v>873</v>
      </c>
      <c r="E489" s="2" t="s">
        <v>27</v>
      </c>
      <c r="F489" s="1">
        <v>1</v>
      </c>
      <c r="G489" s="1">
        <f>TRUNC(30.45,2)</f>
        <v>30.45</v>
      </c>
      <c r="H489" s="1">
        <f t="shared" si="14"/>
        <v>30.45</v>
      </c>
    </row>
    <row r="490" spans="2:8" x14ac:dyDescent="0.25">
      <c r="C490" s="178" t="s">
        <v>392</v>
      </c>
      <c r="D490" s="2" t="s">
        <v>393</v>
      </c>
      <c r="E490" s="2" t="s">
        <v>44</v>
      </c>
      <c r="F490" s="1">
        <v>17.510000000000002</v>
      </c>
      <c r="G490" s="1">
        <f>TRUNC(17.3,2)</f>
        <v>17.3</v>
      </c>
      <c r="H490" s="1">
        <f t="shared" si="14"/>
        <v>302.92</v>
      </c>
    </row>
    <row r="491" spans="2:8" x14ac:dyDescent="0.25">
      <c r="C491" s="178" t="s">
        <v>68</v>
      </c>
      <c r="D491" s="2" t="s">
        <v>69</v>
      </c>
      <c r="E491" s="2" t="s">
        <v>44</v>
      </c>
      <c r="F491" s="1">
        <v>17.510000000000002</v>
      </c>
      <c r="G491" s="1">
        <f>TRUNC(12.54,2)</f>
        <v>12.54</v>
      </c>
      <c r="H491" s="1">
        <f t="shared" si="14"/>
        <v>219.57</v>
      </c>
    </row>
    <row r="492" spans="2:8" x14ac:dyDescent="0.25">
      <c r="C492" s="178" t="s">
        <v>874</v>
      </c>
      <c r="D492" s="2" t="s">
        <v>875</v>
      </c>
      <c r="E492" s="2" t="s">
        <v>21</v>
      </c>
      <c r="F492" s="1">
        <v>1.7</v>
      </c>
      <c r="G492" s="1">
        <f>TRUNC(44.0229,2)</f>
        <v>44.02</v>
      </c>
      <c r="H492" s="1">
        <f t="shared" si="14"/>
        <v>74.83</v>
      </c>
    </row>
    <row r="493" spans="2:8" x14ac:dyDescent="0.25">
      <c r="C493" s="178" t="s">
        <v>172</v>
      </c>
      <c r="D493" s="2" t="s">
        <v>173</v>
      </c>
      <c r="E493" s="2" t="s">
        <v>24</v>
      </c>
      <c r="F493" s="1">
        <v>0.13</v>
      </c>
      <c r="G493" s="1">
        <f>TRUNC(265.3836,2)</f>
        <v>265.38</v>
      </c>
      <c r="H493" s="1">
        <f t="shared" si="14"/>
        <v>34.49</v>
      </c>
    </row>
    <row r="494" spans="2:8" x14ac:dyDescent="0.25">
      <c r="C494" s="178"/>
      <c r="F494" s="1" t="s">
        <v>45</v>
      </c>
      <c r="H494" s="1">
        <f>TRUNC(SUM(H474:H493),2)</f>
        <v>934.48</v>
      </c>
    </row>
    <row r="495" spans="2:8" ht="30" x14ac:dyDescent="0.25">
      <c r="B495" s="17" t="s">
        <v>883</v>
      </c>
      <c r="C495" s="208" t="s">
        <v>893</v>
      </c>
      <c r="D495" s="2" t="s">
        <v>892</v>
      </c>
      <c r="E495" s="2" t="s">
        <v>27</v>
      </c>
      <c r="F495" s="1">
        <v>1</v>
      </c>
      <c r="G495" s="1">
        <f>H502</f>
        <v>501.85</v>
      </c>
      <c r="H495" s="1">
        <f t="shared" ref="H495:H501" si="15">TRUNC(F495*G495,2)</f>
        <v>501.85</v>
      </c>
    </row>
    <row r="496" spans="2:8" x14ac:dyDescent="0.25">
      <c r="C496" s="184" t="s">
        <v>884</v>
      </c>
      <c r="D496" s="2" t="s">
        <v>885</v>
      </c>
      <c r="E496" s="2" t="s">
        <v>27</v>
      </c>
      <c r="F496" s="1">
        <v>1</v>
      </c>
      <c r="G496" s="1">
        <f>TRUNC(322.4,2)</f>
        <v>322.39999999999998</v>
      </c>
      <c r="H496" s="1">
        <f t="shared" si="15"/>
        <v>322.39999999999998</v>
      </c>
    </row>
    <row r="497" spans="2:8" x14ac:dyDescent="0.25">
      <c r="C497" s="184" t="s">
        <v>68</v>
      </c>
      <c r="D497" s="2" t="s">
        <v>69</v>
      </c>
      <c r="E497" s="2" t="s">
        <v>44</v>
      </c>
      <c r="F497" s="1">
        <v>5.665</v>
      </c>
      <c r="G497" s="1">
        <f>TRUNC(12.54,2)</f>
        <v>12.54</v>
      </c>
      <c r="H497" s="1">
        <f t="shared" si="15"/>
        <v>71.03</v>
      </c>
    </row>
    <row r="498" spans="2:8" x14ac:dyDescent="0.25">
      <c r="C498" s="184" t="s">
        <v>886</v>
      </c>
      <c r="D498" s="2" t="s">
        <v>887</v>
      </c>
      <c r="E498" s="2" t="s">
        <v>44</v>
      </c>
      <c r="F498" s="1">
        <v>1</v>
      </c>
      <c r="G498" s="1">
        <f>TRUNC(34.7607,2)</f>
        <v>34.76</v>
      </c>
      <c r="H498" s="1">
        <f t="shared" si="15"/>
        <v>34.76</v>
      </c>
    </row>
    <row r="499" spans="2:8" x14ac:dyDescent="0.25">
      <c r="C499" s="184" t="s">
        <v>888</v>
      </c>
      <c r="D499" s="2" t="s">
        <v>889</v>
      </c>
      <c r="E499" s="2" t="s">
        <v>44</v>
      </c>
      <c r="F499" s="1">
        <v>1</v>
      </c>
      <c r="G499" s="1">
        <f>TRUNC(46.9385,2)</f>
        <v>46.93</v>
      </c>
      <c r="H499" s="1">
        <f t="shared" si="15"/>
        <v>46.93</v>
      </c>
    </row>
    <row r="500" spans="2:8" x14ac:dyDescent="0.25">
      <c r="C500" s="184" t="s">
        <v>890</v>
      </c>
      <c r="D500" s="2" t="s">
        <v>891</v>
      </c>
      <c r="E500" s="2" t="s">
        <v>24</v>
      </c>
      <c r="F500" s="1">
        <v>0.1</v>
      </c>
      <c r="G500" s="1">
        <f>TRUNC(56.6137,2)</f>
        <v>56.61</v>
      </c>
      <c r="H500" s="1">
        <f t="shared" si="15"/>
        <v>5.66</v>
      </c>
    </row>
    <row r="501" spans="2:8" x14ac:dyDescent="0.25">
      <c r="C501" s="184" t="s">
        <v>449</v>
      </c>
      <c r="D501" s="2" t="s">
        <v>450</v>
      </c>
      <c r="E501" s="2" t="s">
        <v>24</v>
      </c>
      <c r="F501" s="1">
        <v>0.1</v>
      </c>
      <c r="G501" s="1">
        <f>TRUNC(210.7543,2)</f>
        <v>210.75</v>
      </c>
      <c r="H501" s="1">
        <f t="shared" si="15"/>
        <v>21.07</v>
      </c>
    </row>
    <row r="502" spans="2:8" x14ac:dyDescent="0.25">
      <c r="F502" s="1" t="s">
        <v>45</v>
      </c>
      <c r="H502" s="1">
        <f>TRUNC(SUM(H496:H501),2)</f>
        <v>501.85</v>
      </c>
    </row>
    <row r="503" spans="2:8" x14ac:dyDescent="0.25">
      <c r="B503" s="17" t="s">
        <v>896</v>
      </c>
      <c r="C503" s="150"/>
      <c r="D503" s="127" t="s">
        <v>232</v>
      </c>
      <c r="E503" s="21"/>
      <c r="F503" s="8"/>
      <c r="G503" s="8"/>
      <c r="H503" s="8"/>
    </row>
    <row r="505" spans="2:8" ht="30" x14ac:dyDescent="0.25">
      <c r="B505" s="186" t="s">
        <v>898</v>
      </c>
      <c r="C505" s="208" t="s">
        <v>545</v>
      </c>
      <c r="D505" s="2" t="s">
        <v>538</v>
      </c>
      <c r="E505" s="2" t="s">
        <v>24</v>
      </c>
      <c r="F505" s="1">
        <v>1</v>
      </c>
      <c r="G505" s="1">
        <f>H521</f>
        <v>1055.44</v>
      </c>
      <c r="H505" s="1">
        <f t="shared" ref="H505:H520" si="16">TRUNC(F505*G505,2)</f>
        <v>1055.44</v>
      </c>
    </row>
    <row r="506" spans="2:8" x14ac:dyDescent="0.25">
      <c r="C506" s="184" t="s">
        <v>213</v>
      </c>
      <c r="D506" s="2" t="s">
        <v>214</v>
      </c>
      <c r="E506" s="2" t="s">
        <v>24</v>
      </c>
      <c r="F506" s="1">
        <v>1</v>
      </c>
      <c r="G506" s="1">
        <f>TRUNC(300,2)</f>
        <v>300</v>
      </c>
      <c r="H506" s="1">
        <f t="shared" si="16"/>
        <v>300</v>
      </c>
    </row>
    <row r="507" spans="2:8" x14ac:dyDescent="0.25">
      <c r="C507" s="184" t="s">
        <v>96</v>
      </c>
      <c r="D507" s="2" t="s">
        <v>97</v>
      </c>
      <c r="E507" s="2" t="s">
        <v>29</v>
      </c>
      <c r="F507" s="1">
        <v>12</v>
      </c>
      <c r="G507" s="1">
        <f>TRUNC(4.18,2)</f>
        <v>4.18</v>
      </c>
      <c r="H507" s="1">
        <f t="shared" si="16"/>
        <v>50.16</v>
      </c>
    </row>
    <row r="508" spans="2:8" x14ac:dyDescent="0.25">
      <c r="C508" s="184" t="s">
        <v>98</v>
      </c>
      <c r="D508" s="2" t="s">
        <v>99</v>
      </c>
      <c r="E508" s="2" t="s">
        <v>29</v>
      </c>
      <c r="F508" s="1">
        <v>10</v>
      </c>
      <c r="G508" s="1">
        <f>TRUNC(4.24,2)</f>
        <v>4.24</v>
      </c>
      <c r="H508" s="1">
        <f t="shared" si="16"/>
        <v>42.4</v>
      </c>
    </row>
    <row r="509" spans="2:8" x14ac:dyDescent="0.25">
      <c r="C509" s="184" t="s">
        <v>100</v>
      </c>
      <c r="D509" s="2" t="s">
        <v>101</v>
      </c>
      <c r="E509" s="2" t="s">
        <v>29</v>
      </c>
      <c r="F509" s="1">
        <v>10</v>
      </c>
      <c r="G509" s="1">
        <f>TRUNC(3.4,2)</f>
        <v>3.4</v>
      </c>
      <c r="H509" s="1">
        <f t="shared" si="16"/>
        <v>34</v>
      </c>
    </row>
    <row r="510" spans="2:8" x14ac:dyDescent="0.25">
      <c r="C510" s="184" t="s">
        <v>102</v>
      </c>
      <c r="D510" s="2" t="s">
        <v>103</v>
      </c>
      <c r="E510" s="2" t="s">
        <v>29</v>
      </c>
      <c r="F510" s="1">
        <v>4</v>
      </c>
      <c r="G510" s="1">
        <f>TRUNC(3.44,2)</f>
        <v>3.44</v>
      </c>
      <c r="H510" s="1">
        <f t="shared" si="16"/>
        <v>13.76</v>
      </c>
    </row>
    <row r="511" spans="2:8" x14ac:dyDescent="0.25">
      <c r="C511" s="184" t="s">
        <v>104</v>
      </c>
      <c r="D511" s="2" t="s">
        <v>105</v>
      </c>
      <c r="E511" s="2" t="s">
        <v>29</v>
      </c>
      <c r="F511" s="1">
        <v>12</v>
      </c>
      <c r="G511" s="1">
        <f>TRUNC(3.92,2)</f>
        <v>3.92</v>
      </c>
      <c r="H511" s="1">
        <f t="shared" si="16"/>
        <v>47.04</v>
      </c>
    </row>
    <row r="512" spans="2:8" x14ac:dyDescent="0.25">
      <c r="C512" s="184" t="s">
        <v>106</v>
      </c>
      <c r="D512" s="2" t="s">
        <v>107</v>
      </c>
      <c r="E512" s="2" t="s">
        <v>29</v>
      </c>
      <c r="F512" s="1">
        <v>12</v>
      </c>
      <c r="G512" s="1">
        <f>TRUNC(4.01,2)</f>
        <v>4.01</v>
      </c>
      <c r="H512" s="1">
        <f t="shared" si="16"/>
        <v>48.12</v>
      </c>
    </row>
    <row r="513" spans="2:8" x14ac:dyDescent="0.25">
      <c r="C513" s="184" t="s">
        <v>108</v>
      </c>
      <c r="D513" s="2" t="s">
        <v>109</v>
      </c>
      <c r="E513" s="2" t="s">
        <v>29</v>
      </c>
      <c r="F513" s="1">
        <v>1.8</v>
      </c>
      <c r="G513" s="1">
        <f>TRUNC(5.4325,2)</f>
        <v>5.43</v>
      </c>
      <c r="H513" s="1">
        <f t="shared" si="16"/>
        <v>9.77</v>
      </c>
    </row>
    <row r="514" spans="2:8" x14ac:dyDescent="0.25">
      <c r="C514" s="184" t="s">
        <v>68</v>
      </c>
      <c r="D514" s="2" t="s">
        <v>69</v>
      </c>
      <c r="E514" s="2" t="s">
        <v>44</v>
      </c>
      <c r="F514" s="1">
        <v>9.4245000000000001</v>
      </c>
      <c r="G514" s="1">
        <f>TRUNC(12.54,2)</f>
        <v>12.54</v>
      </c>
      <c r="H514" s="1">
        <f t="shared" si="16"/>
        <v>118.18</v>
      </c>
    </row>
    <row r="515" spans="2:8" x14ac:dyDescent="0.25">
      <c r="C515" s="184" t="s">
        <v>72</v>
      </c>
      <c r="D515" s="2" t="s">
        <v>73</v>
      </c>
      <c r="E515" s="2" t="s">
        <v>44</v>
      </c>
      <c r="F515" s="1">
        <v>0.51500000000000001</v>
      </c>
      <c r="G515" s="1">
        <f>TRUNC(17.3,2)</f>
        <v>17.3</v>
      </c>
      <c r="H515" s="1">
        <f t="shared" si="16"/>
        <v>8.9</v>
      </c>
    </row>
    <row r="516" spans="2:8" x14ac:dyDescent="0.25">
      <c r="C516" s="184" t="s">
        <v>411</v>
      </c>
      <c r="D516" s="2" t="s">
        <v>412</v>
      </c>
      <c r="E516" s="2" t="s">
        <v>44</v>
      </c>
      <c r="F516" s="1">
        <v>0.51500000000000001</v>
      </c>
      <c r="G516" s="1">
        <f>TRUNC(17.3,2)</f>
        <v>17.3</v>
      </c>
      <c r="H516" s="1">
        <f t="shared" si="16"/>
        <v>8.9</v>
      </c>
    </row>
    <row r="517" spans="2:8" x14ac:dyDescent="0.25">
      <c r="C517" s="184" t="s">
        <v>462</v>
      </c>
      <c r="D517" s="2" t="s">
        <v>463</v>
      </c>
      <c r="E517" s="2" t="s">
        <v>44</v>
      </c>
      <c r="F517" s="1">
        <v>6.3345000000000002</v>
      </c>
      <c r="G517" s="1">
        <f>TRUNC(17.3,2)</f>
        <v>17.3</v>
      </c>
      <c r="H517" s="1">
        <f t="shared" si="16"/>
        <v>109.58</v>
      </c>
    </row>
    <row r="518" spans="2:8" x14ac:dyDescent="0.25">
      <c r="C518" s="184" t="s">
        <v>539</v>
      </c>
      <c r="D518" s="2" t="s">
        <v>540</v>
      </c>
      <c r="E518" s="2" t="s">
        <v>21</v>
      </c>
      <c r="F518" s="1">
        <v>4</v>
      </c>
      <c r="G518" s="1">
        <f>TRUNC(66.011,2)</f>
        <v>66.010000000000005</v>
      </c>
      <c r="H518" s="1">
        <f t="shared" si="16"/>
        <v>264.04000000000002</v>
      </c>
    </row>
    <row r="519" spans="2:8" x14ac:dyDescent="0.25">
      <c r="C519" s="184" t="s">
        <v>541</v>
      </c>
      <c r="D519" s="2" t="s">
        <v>542</v>
      </c>
      <c r="E519" s="2" t="s">
        <v>44</v>
      </c>
      <c r="F519" s="1">
        <v>0.80500000000000005</v>
      </c>
      <c r="G519" s="1">
        <f>TRUNC(0.2686,2)</f>
        <v>0.26</v>
      </c>
      <c r="H519" s="1">
        <f t="shared" si="16"/>
        <v>0.2</v>
      </c>
    </row>
    <row r="520" spans="2:8" x14ac:dyDescent="0.25">
      <c r="C520" s="184" t="s">
        <v>543</v>
      </c>
      <c r="D520" s="2" t="s">
        <v>544</v>
      </c>
      <c r="E520" s="2" t="s">
        <v>44</v>
      </c>
      <c r="F520" s="1">
        <v>0.34499999999999997</v>
      </c>
      <c r="G520" s="1">
        <f>TRUNC(1.1556,2)</f>
        <v>1.1499999999999999</v>
      </c>
      <c r="H520" s="1">
        <f t="shared" si="16"/>
        <v>0.39</v>
      </c>
    </row>
    <row r="521" spans="2:8" x14ac:dyDescent="0.25">
      <c r="F521" s="1" t="s">
        <v>45</v>
      </c>
      <c r="H521" s="1">
        <f>TRUNC(SUM(H506:H520),2)</f>
        <v>1055.44</v>
      </c>
    </row>
    <row r="522" spans="2:8" x14ac:dyDescent="0.25">
      <c r="B522" s="17" t="s">
        <v>899</v>
      </c>
      <c r="C522" s="184" t="s">
        <v>546</v>
      </c>
      <c r="D522" s="2" t="s">
        <v>215</v>
      </c>
      <c r="E522" s="2" t="s">
        <v>21</v>
      </c>
      <c r="F522" s="1">
        <v>1</v>
      </c>
      <c r="G522" s="1">
        <f>H529</f>
        <v>81.650000000000006</v>
      </c>
      <c r="H522" s="1">
        <f t="shared" ref="H522:H528" si="17">TRUNC(F522*G522,2)</f>
        <v>81.650000000000006</v>
      </c>
    </row>
    <row r="523" spans="2:8" x14ac:dyDescent="0.25">
      <c r="C523" s="184" t="s">
        <v>473</v>
      </c>
      <c r="D523" s="2" t="s">
        <v>216</v>
      </c>
      <c r="E523" s="2" t="s">
        <v>217</v>
      </c>
      <c r="F523" s="1">
        <v>9.4000000000000004E-3</v>
      </c>
      <c r="G523" s="1">
        <f>TRUNC(47.25,2)</f>
        <v>47.25</v>
      </c>
      <c r="H523" s="1">
        <f t="shared" si="17"/>
        <v>0.44</v>
      </c>
    </row>
    <row r="524" spans="2:8" x14ac:dyDescent="0.25">
      <c r="C524" s="184" t="s">
        <v>547</v>
      </c>
      <c r="D524" s="2" t="s">
        <v>218</v>
      </c>
      <c r="E524" s="2" t="s">
        <v>23</v>
      </c>
      <c r="F524" s="1">
        <v>0.78500000000000003</v>
      </c>
      <c r="G524" s="1">
        <f>TRUNC(1.25,2)</f>
        <v>1.25</v>
      </c>
      <c r="H524" s="1">
        <f t="shared" si="17"/>
        <v>0.98</v>
      </c>
    </row>
    <row r="525" spans="2:8" x14ac:dyDescent="0.25">
      <c r="C525" s="184" t="s">
        <v>548</v>
      </c>
      <c r="D525" s="2" t="s">
        <v>219</v>
      </c>
      <c r="E525" s="2" t="s">
        <v>220</v>
      </c>
      <c r="F525" s="1">
        <v>2.8309999999999998E-2</v>
      </c>
      <c r="G525" s="1">
        <f>TRUNC(400,2)</f>
        <v>400</v>
      </c>
      <c r="H525" s="1">
        <f t="shared" si="17"/>
        <v>11.32</v>
      </c>
    </row>
    <row r="526" spans="2:8" x14ac:dyDescent="0.25">
      <c r="C526" s="184" t="s">
        <v>74</v>
      </c>
      <c r="D526" s="2" t="s">
        <v>46</v>
      </c>
      <c r="E526" s="2" t="s">
        <v>44</v>
      </c>
      <c r="F526" s="1">
        <v>0.99</v>
      </c>
      <c r="G526" s="1">
        <f>TRUNC(18.78,2)</f>
        <v>18.78</v>
      </c>
      <c r="H526" s="1">
        <f t="shared" si="17"/>
        <v>18.59</v>
      </c>
    </row>
    <row r="527" spans="2:8" x14ac:dyDescent="0.25">
      <c r="C527" s="184" t="s">
        <v>476</v>
      </c>
      <c r="D527" s="2" t="s">
        <v>54</v>
      </c>
      <c r="E527" s="2" t="s">
        <v>44</v>
      </c>
      <c r="F527" s="1">
        <v>1.98</v>
      </c>
      <c r="G527" s="1">
        <f>TRUNC(23.61,2)</f>
        <v>23.61</v>
      </c>
      <c r="H527" s="1">
        <f t="shared" si="17"/>
        <v>46.74</v>
      </c>
    </row>
    <row r="528" spans="2:8" x14ac:dyDescent="0.25">
      <c r="C528" s="184" t="s">
        <v>477</v>
      </c>
      <c r="D528" s="2" t="s">
        <v>478</v>
      </c>
      <c r="E528" s="2" t="s">
        <v>24</v>
      </c>
      <c r="F528" s="1">
        <v>9.7999999999999997E-3</v>
      </c>
      <c r="G528" s="1">
        <f>TRUNC(365.49,2)</f>
        <v>365.49</v>
      </c>
      <c r="H528" s="1">
        <f t="shared" si="17"/>
        <v>3.58</v>
      </c>
    </row>
    <row r="529" spans="2:8" x14ac:dyDescent="0.25">
      <c r="F529" s="1" t="s">
        <v>45</v>
      </c>
      <c r="H529" s="1">
        <f>TRUNC(SUM(H523:H528),2)</f>
        <v>81.650000000000006</v>
      </c>
    </row>
    <row r="530" spans="2:8" x14ac:dyDescent="0.25">
      <c r="B530" s="17" t="s">
        <v>900</v>
      </c>
      <c r="C530" s="184" t="s">
        <v>549</v>
      </c>
      <c r="D530" s="2" t="s">
        <v>66</v>
      </c>
      <c r="E530" s="2" t="s">
        <v>21</v>
      </c>
      <c r="F530" s="1">
        <v>1</v>
      </c>
      <c r="G530" s="1">
        <f>H534</f>
        <v>3.16</v>
      </c>
      <c r="H530" s="1">
        <f>TRUNC(F530*G530,2)</f>
        <v>3.16</v>
      </c>
    </row>
    <row r="531" spans="2:8" x14ac:dyDescent="0.25">
      <c r="C531" s="184" t="s">
        <v>74</v>
      </c>
      <c r="D531" s="2" t="s">
        <v>46</v>
      </c>
      <c r="E531" s="2" t="s">
        <v>44</v>
      </c>
      <c r="F531" s="1">
        <v>7.0000000000000001E-3</v>
      </c>
      <c r="G531" s="1">
        <f>TRUNC(18.78,2)</f>
        <v>18.78</v>
      </c>
      <c r="H531" s="1">
        <f>TRUNC(F531*G531,2)</f>
        <v>0.13</v>
      </c>
    </row>
    <row r="532" spans="2:8" x14ac:dyDescent="0.25">
      <c r="C532" s="184" t="s">
        <v>476</v>
      </c>
      <c r="D532" s="2" t="s">
        <v>54</v>
      </c>
      <c r="E532" s="2" t="s">
        <v>44</v>
      </c>
      <c r="F532" s="1">
        <v>7.0000000000000007E-2</v>
      </c>
      <c r="G532" s="1">
        <f>TRUNC(23.61,2)</f>
        <v>23.61</v>
      </c>
      <c r="H532" s="1">
        <f>TRUNC(F532*G532,2)</f>
        <v>1.65</v>
      </c>
    </row>
    <row r="533" spans="2:8" x14ac:dyDescent="0.25">
      <c r="C533" s="184" t="s">
        <v>550</v>
      </c>
      <c r="D533" s="2" t="s">
        <v>551</v>
      </c>
      <c r="E533" s="2" t="s">
        <v>24</v>
      </c>
      <c r="F533" s="1">
        <v>4.1999999999999997E-3</v>
      </c>
      <c r="G533" s="1">
        <f>TRUNC(330.75,2)</f>
        <v>330.75</v>
      </c>
      <c r="H533" s="1">
        <f>TRUNC(F533*G533,2)</f>
        <v>1.38</v>
      </c>
    </row>
    <row r="534" spans="2:8" x14ac:dyDescent="0.25">
      <c r="F534" s="1" t="s">
        <v>45</v>
      </c>
      <c r="H534" s="1">
        <f>TRUNC(SUM(H531:H533),2)</f>
        <v>3.16</v>
      </c>
    </row>
    <row r="535" spans="2:8" x14ac:dyDescent="0.25">
      <c r="B535" s="17" t="s">
        <v>901</v>
      </c>
      <c r="C535" s="184" t="s">
        <v>552</v>
      </c>
      <c r="D535" s="2" t="s">
        <v>67</v>
      </c>
      <c r="E535" s="2" t="s">
        <v>21</v>
      </c>
      <c r="F535" s="1">
        <v>1</v>
      </c>
      <c r="G535" s="1">
        <f>H539</f>
        <v>28.04</v>
      </c>
      <c r="H535" s="1">
        <f>TRUNC(F535*G535,2)</f>
        <v>28.04</v>
      </c>
    </row>
    <row r="536" spans="2:8" x14ac:dyDescent="0.25">
      <c r="C536" s="184" t="s">
        <v>74</v>
      </c>
      <c r="D536" s="2" t="s">
        <v>46</v>
      </c>
      <c r="E536" s="2" t="s">
        <v>44</v>
      </c>
      <c r="F536" s="1">
        <v>0.17100000000000001</v>
      </c>
      <c r="G536" s="1">
        <f>TRUNC(18.78,2)</f>
        <v>18.78</v>
      </c>
      <c r="H536" s="1">
        <f>TRUNC(F536*G536,2)</f>
        <v>3.21</v>
      </c>
    </row>
    <row r="537" spans="2:8" x14ac:dyDescent="0.25">
      <c r="C537" s="184" t="s">
        <v>476</v>
      </c>
      <c r="D537" s="2" t="s">
        <v>54</v>
      </c>
      <c r="E537" s="2" t="s">
        <v>44</v>
      </c>
      <c r="F537" s="1">
        <v>0.47</v>
      </c>
      <c r="G537" s="1">
        <f>TRUNC(23.61,2)</f>
        <v>23.61</v>
      </c>
      <c r="H537" s="1">
        <f>TRUNC(F537*G537,2)</f>
        <v>11.09</v>
      </c>
    </row>
    <row r="538" spans="2:8" x14ac:dyDescent="0.25">
      <c r="C538" s="184" t="s">
        <v>477</v>
      </c>
      <c r="D538" s="2" t="s">
        <v>478</v>
      </c>
      <c r="E538" s="2" t="s">
        <v>24</v>
      </c>
      <c r="F538" s="1">
        <v>3.7600000000000001E-2</v>
      </c>
      <c r="G538" s="1">
        <f>TRUNC(365.49,2)</f>
        <v>365.49</v>
      </c>
      <c r="H538" s="1">
        <f>TRUNC(F538*G538,2)</f>
        <v>13.74</v>
      </c>
    </row>
    <row r="539" spans="2:8" x14ac:dyDescent="0.25">
      <c r="F539" s="1" t="s">
        <v>45</v>
      </c>
      <c r="H539" s="1">
        <f>TRUNC(SUM(H536:H538),2)</f>
        <v>28.04</v>
      </c>
    </row>
    <row r="540" spans="2:8" x14ac:dyDescent="0.25">
      <c r="B540" s="17" t="s">
        <v>902</v>
      </c>
      <c r="C540" s="184" t="s">
        <v>553</v>
      </c>
      <c r="D540" s="2" t="s">
        <v>93</v>
      </c>
      <c r="E540" s="2" t="s">
        <v>21</v>
      </c>
      <c r="F540" s="1">
        <v>1</v>
      </c>
      <c r="G540" s="1">
        <f>H544</f>
        <v>2.2999999999999998</v>
      </c>
      <c r="H540" s="1">
        <f>TRUNC(F540*G540,2)</f>
        <v>2.2999999999999998</v>
      </c>
    </row>
    <row r="541" spans="2:8" x14ac:dyDescent="0.25">
      <c r="C541" s="184" t="s">
        <v>554</v>
      </c>
      <c r="D541" s="2" t="s">
        <v>94</v>
      </c>
      <c r="E541" s="2" t="s">
        <v>49</v>
      </c>
      <c r="F541" s="1">
        <v>0.16</v>
      </c>
      <c r="G541" s="1">
        <f>TRUNC(7.11,2)</f>
        <v>7.11</v>
      </c>
      <c r="H541" s="1">
        <f>TRUNC(F541*G541,2)</f>
        <v>1.1299999999999999</v>
      </c>
    </row>
    <row r="542" spans="2:8" x14ac:dyDescent="0.25">
      <c r="C542" s="184" t="s">
        <v>74</v>
      </c>
      <c r="D542" s="2" t="s">
        <v>46</v>
      </c>
      <c r="E542" s="2" t="s">
        <v>44</v>
      </c>
      <c r="F542" s="1">
        <v>1.4E-2</v>
      </c>
      <c r="G542" s="1">
        <f>TRUNC(18.78,2)</f>
        <v>18.78</v>
      </c>
      <c r="H542" s="1">
        <f>TRUNC(F542*G542,2)</f>
        <v>0.26</v>
      </c>
    </row>
    <row r="543" spans="2:8" x14ac:dyDescent="0.25">
      <c r="C543" s="184" t="s">
        <v>555</v>
      </c>
      <c r="D543" s="2" t="s">
        <v>63</v>
      </c>
      <c r="E543" s="2" t="s">
        <v>44</v>
      </c>
      <c r="F543" s="1">
        <v>3.9E-2</v>
      </c>
      <c r="G543" s="1">
        <f>TRUNC(23.52,2)</f>
        <v>23.52</v>
      </c>
      <c r="H543" s="1">
        <f>TRUNC(F543*G543,2)</f>
        <v>0.91</v>
      </c>
    </row>
    <row r="544" spans="2:8" x14ac:dyDescent="0.25">
      <c r="F544" s="1" t="s">
        <v>45</v>
      </c>
      <c r="H544" s="1">
        <f>TRUNC(SUM(H541:H543),2)</f>
        <v>2.2999999999999998</v>
      </c>
    </row>
    <row r="545" spans="1:8" ht="30" x14ac:dyDescent="0.25">
      <c r="B545" s="17" t="s">
        <v>903</v>
      </c>
      <c r="C545" s="208" t="s">
        <v>559</v>
      </c>
      <c r="D545" s="2" t="s">
        <v>556</v>
      </c>
      <c r="E545" s="2" t="s">
        <v>21</v>
      </c>
      <c r="F545" s="1">
        <v>1</v>
      </c>
      <c r="G545" s="1">
        <f>H550</f>
        <v>30.54</v>
      </c>
      <c r="H545" s="1">
        <f>TRUNC(F545*G545,2)</f>
        <v>30.54</v>
      </c>
    </row>
    <row r="546" spans="1:8" x14ac:dyDescent="0.25">
      <c r="C546" s="207" t="s">
        <v>557</v>
      </c>
      <c r="D546" s="91" t="s">
        <v>210</v>
      </c>
      <c r="E546" s="91" t="s">
        <v>29</v>
      </c>
      <c r="F546" s="92">
        <v>3.2</v>
      </c>
      <c r="G546" s="92">
        <f>TRUNC(4.82,2)</f>
        <v>4.82</v>
      </c>
      <c r="H546" s="92"/>
    </row>
    <row r="547" spans="1:8" x14ac:dyDescent="0.25">
      <c r="C547" s="178" t="s">
        <v>58</v>
      </c>
      <c r="D547" s="129" t="s">
        <v>212</v>
      </c>
      <c r="E547" s="129" t="s">
        <v>29</v>
      </c>
      <c r="F547" s="130">
        <v>0.125</v>
      </c>
      <c r="G547" s="31">
        <v>124.52</v>
      </c>
      <c r="H547" s="31">
        <f>TRUNC(F547*G547,2)</f>
        <v>15.56</v>
      </c>
    </row>
    <row r="548" spans="1:8" x14ac:dyDescent="0.25">
      <c r="C548" s="184" t="s">
        <v>481</v>
      </c>
      <c r="D548" s="2" t="s">
        <v>148</v>
      </c>
      <c r="E548" s="2" t="s">
        <v>44</v>
      </c>
      <c r="F548" s="1">
        <v>0.53200000000000003</v>
      </c>
      <c r="G548" s="1">
        <f>TRUNC(23.61,2)</f>
        <v>23.61</v>
      </c>
      <c r="H548" s="1">
        <f>TRUNC(F548*G548,2)</f>
        <v>12.56</v>
      </c>
    </row>
    <row r="549" spans="1:8" x14ac:dyDescent="0.25">
      <c r="C549" s="184" t="s">
        <v>558</v>
      </c>
      <c r="D549" s="2" t="s">
        <v>211</v>
      </c>
      <c r="E549" s="2" t="s">
        <v>44</v>
      </c>
      <c r="F549" s="1">
        <v>0.108</v>
      </c>
      <c r="G549" s="1">
        <f>TRUNC(22.44,2)</f>
        <v>22.44</v>
      </c>
      <c r="H549" s="1">
        <f>TRUNC(F549*G549,2)</f>
        <v>2.42</v>
      </c>
    </row>
    <row r="550" spans="1:8" x14ac:dyDescent="0.25">
      <c r="F550" s="1" t="s">
        <v>45</v>
      </c>
      <c r="H550" s="1">
        <f>SUM(H546:H549)</f>
        <v>30.54</v>
      </c>
    </row>
    <row r="552" spans="1:8" s="8" customFormat="1" ht="15" customHeight="1" x14ac:dyDescent="0.25">
      <c r="A552" s="2"/>
      <c r="B552" s="180" t="s">
        <v>231</v>
      </c>
      <c r="C552" s="178"/>
      <c r="D552" s="154" t="s">
        <v>233</v>
      </c>
      <c r="E552" s="129"/>
      <c r="F552" s="130"/>
      <c r="G552" s="31"/>
      <c r="H552" s="31"/>
    </row>
    <row r="553" spans="1:8" ht="30" x14ac:dyDescent="0.25">
      <c r="B553" s="17" t="s">
        <v>774</v>
      </c>
      <c r="C553" s="208" t="s">
        <v>626</v>
      </c>
      <c r="D553" s="2" t="s">
        <v>638</v>
      </c>
      <c r="E553" s="2" t="s">
        <v>24</v>
      </c>
      <c r="F553" s="1">
        <v>1</v>
      </c>
      <c r="G553" s="1">
        <f>H559</f>
        <v>77.890000000000015</v>
      </c>
      <c r="H553" s="1">
        <f>TRUNC(F553*G553,2)</f>
        <v>77.89</v>
      </c>
    </row>
    <row r="554" spans="1:8" x14ac:dyDescent="0.25">
      <c r="C554" s="207" t="s">
        <v>622</v>
      </c>
      <c r="D554" s="91" t="s">
        <v>623</v>
      </c>
      <c r="E554" s="91" t="s">
        <v>24</v>
      </c>
      <c r="F554" s="92">
        <v>1.28</v>
      </c>
      <c r="G554" s="92">
        <f>TRUNC(36,2)</f>
        <v>36</v>
      </c>
      <c r="H554" s="92"/>
    </row>
    <row r="555" spans="1:8" x14ac:dyDescent="0.25">
      <c r="C555" s="150" t="s">
        <v>624</v>
      </c>
      <c r="D555" s="21" t="s">
        <v>625</v>
      </c>
      <c r="E555" s="21" t="s">
        <v>118</v>
      </c>
      <c r="F555" s="8">
        <v>1</v>
      </c>
      <c r="G555" s="8">
        <v>42.86</v>
      </c>
      <c r="H555" s="8">
        <f>F555*G555</f>
        <v>42.86</v>
      </c>
    </row>
    <row r="556" spans="1:8" x14ac:dyDescent="0.25">
      <c r="C556" s="184" t="s">
        <v>68</v>
      </c>
      <c r="D556" s="2" t="s">
        <v>69</v>
      </c>
      <c r="E556" s="2" t="s">
        <v>44</v>
      </c>
      <c r="F556" s="1">
        <v>2.5750000000000002</v>
      </c>
      <c r="G556" s="1">
        <f>TRUNC(12.54,2)</f>
        <v>12.54</v>
      </c>
      <c r="H556" s="1">
        <f>TRUNC(F556*G556,2)</f>
        <v>32.29</v>
      </c>
    </row>
    <row r="557" spans="1:8" x14ac:dyDescent="0.25">
      <c r="C557" s="184" t="s">
        <v>611</v>
      </c>
      <c r="D557" s="2" t="s">
        <v>612</v>
      </c>
      <c r="E557" s="2" t="s">
        <v>44</v>
      </c>
      <c r="F557" s="1">
        <v>2.5999999999999999E-2</v>
      </c>
      <c r="G557" s="1">
        <f>TRUNC(40.1616,2)</f>
        <v>40.159999999999997</v>
      </c>
      <c r="H557" s="1">
        <f>TRUNC(F557*G557,2)</f>
        <v>1.04</v>
      </c>
    </row>
    <row r="558" spans="1:8" x14ac:dyDescent="0.25">
      <c r="C558" s="184" t="s">
        <v>613</v>
      </c>
      <c r="D558" s="2" t="s">
        <v>614</v>
      </c>
      <c r="E558" s="2" t="s">
        <v>44</v>
      </c>
      <c r="F558" s="1">
        <v>1.4E-2</v>
      </c>
      <c r="G558" s="1">
        <f>TRUNC(121.639,2)</f>
        <v>121.63</v>
      </c>
      <c r="H558" s="1">
        <f>TRUNC(F558*G558,2)</f>
        <v>1.7</v>
      </c>
    </row>
    <row r="559" spans="1:8" x14ac:dyDescent="0.25">
      <c r="F559" s="1" t="s">
        <v>45</v>
      </c>
      <c r="H559" s="1">
        <f>SUM(H554:H558)</f>
        <v>77.890000000000015</v>
      </c>
    </row>
    <row r="560" spans="1:8" x14ac:dyDescent="0.25">
      <c r="B560" s="17" t="s">
        <v>775</v>
      </c>
      <c r="C560" s="178" t="s">
        <v>640</v>
      </c>
      <c r="D560" s="2" t="s">
        <v>636</v>
      </c>
      <c r="E560" s="2" t="s">
        <v>21</v>
      </c>
      <c r="F560" s="1">
        <v>1</v>
      </c>
      <c r="G560" s="1">
        <f>H570</f>
        <v>58.29</v>
      </c>
      <c r="H560" s="1">
        <f t="shared" ref="H560:H569" si="18">TRUNC(F560*G560,2)</f>
        <v>58.29</v>
      </c>
    </row>
    <row r="561" spans="2:8" x14ac:dyDescent="0.25">
      <c r="C561" s="178" t="s">
        <v>647</v>
      </c>
      <c r="D561" s="2" t="s">
        <v>637</v>
      </c>
      <c r="E561" s="2" t="s">
        <v>21</v>
      </c>
      <c r="F561" s="1">
        <v>1.0487</v>
      </c>
      <c r="G561" s="1">
        <f>TRUNC(35.48,2)</f>
        <v>35.479999999999997</v>
      </c>
      <c r="H561" s="1">
        <f t="shared" si="18"/>
        <v>37.200000000000003</v>
      </c>
    </row>
    <row r="562" spans="2:8" x14ac:dyDescent="0.25">
      <c r="C562" s="178" t="s">
        <v>594</v>
      </c>
      <c r="D562" s="2" t="s">
        <v>592</v>
      </c>
      <c r="E562" s="2" t="s">
        <v>24</v>
      </c>
      <c r="F562" s="1">
        <v>6.4999999999999997E-3</v>
      </c>
      <c r="G562" s="1">
        <f>TRUNC(57.27,2)</f>
        <v>57.27</v>
      </c>
      <c r="H562" s="1">
        <f t="shared" si="18"/>
        <v>0.37</v>
      </c>
    </row>
    <row r="563" spans="2:8" x14ac:dyDescent="0.25">
      <c r="C563" s="178" t="s">
        <v>595</v>
      </c>
      <c r="D563" s="2" t="s">
        <v>591</v>
      </c>
      <c r="E563" s="2" t="s">
        <v>24</v>
      </c>
      <c r="F563" s="1">
        <v>5.6800000000000003E-2</v>
      </c>
      <c r="G563" s="1">
        <f>TRUNC(54.29,2)</f>
        <v>54.29</v>
      </c>
      <c r="H563" s="1">
        <f t="shared" si="18"/>
        <v>3.08</v>
      </c>
    </row>
    <row r="564" spans="2:8" x14ac:dyDescent="0.25">
      <c r="C564" s="178" t="s">
        <v>74</v>
      </c>
      <c r="D564" s="2" t="s">
        <v>46</v>
      </c>
      <c r="E564" s="2" t="s">
        <v>44</v>
      </c>
      <c r="F564" s="1">
        <v>0.39750000000000002</v>
      </c>
      <c r="G564" s="1">
        <f>TRUNC(18.78,2)</f>
        <v>18.78</v>
      </c>
      <c r="H564" s="1">
        <f t="shared" si="18"/>
        <v>7.46</v>
      </c>
    </row>
    <row r="565" spans="2:8" x14ac:dyDescent="0.25">
      <c r="C565" s="178" t="s">
        <v>596</v>
      </c>
      <c r="D565" s="2" t="s">
        <v>593</v>
      </c>
      <c r="E565" s="2" t="s">
        <v>44</v>
      </c>
      <c r="F565" s="1">
        <v>0.39750000000000002</v>
      </c>
      <c r="G565" s="1">
        <f>TRUNC(23.48,2)</f>
        <v>23.48</v>
      </c>
      <c r="H565" s="1">
        <f t="shared" si="18"/>
        <v>9.33</v>
      </c>
    </row>
    <row r="566" spans="2:8" x14ac:dyDescent="0.25">
      <c r="C566" s="178" t="s">
        <v>597</v>
      </c>
      <c r="D566" s="2" t="s">
        <v>598</v>
      </c>
      <c r="E566" s="2" t="s">
        <v>47</v>
      </c>
      <c r="F566" s="1">
        <v>0.15040000000000001</v>
      </c>
      <c r="G566" s="1">
        <f>TRUNC(0.7,2)</f>
        <v>0.7</v>
      </c>
      <c r="H566" s="1">
        <f t="shared" si="18"/>
        <v>0.1</v>
      </c>
    </row>
    <row r="567" spans="2:8" x14ac:dyDescent="0.25">
      <c r="C567" s="178" t="s">
        <v>599</v>
      </c>
      <c r="D567" s="2" t="s">
        <v>600</v>
      </c>
      <c r="E567" s="2" t="s">
        <v>48</v>
      </c>
      <c r="F567" s="1">
        <v>4.8300000000000003E-2</v>
      </c>
      <c r="G567" s="1">
        <f>TRUNC(11.08,2)</f>
        <v>11.08</v>
      </c>
      <c r="H567" s="1">
        <f t="shared" si="18"/>
        <v>0.53</v>
      </c>
    </row>
    <row r="568" spans="2:8" x14ac:dyDescent="0.25">
      <c r="C568" s="178" t="s">
        <v>601</v>
      </c>
      <c r="D568" s="2" t="s">
        <v>602</v>
      </c>
      <c r="E568" s="2" t="s">
        <v>47</v>
      </c>
      <c r="F568" s="1">
        <v>0.19470000000000001</v>
      </c>
      <c r="G568" s="1">
        <f>TRUNC(1.03,2)</f>
        <v>1.03</v>
      </c>
      <c r="H568" s="1">
        <f t="shared" si="18"/>
        <v>0.2</v>
      </c>
    </row>
    <row r="569" spans="2:8" x14ac:dyDescent="0.25">
      <c r="C569" s="178" t="s">
        <v>603</v>
      </c>
      <c r="D569" s="2" t="s">
        <v>604</v>
      </c>
      <c r="E569" s="2" t="s">
        <v>48</v>
      </c>
      <c r="F569" s="1">
        <v>4.1000000000000003E-3</v>
      </c>
      <c r="G569" s="1">
        <f>TRUNC(6.07,2)</f>
        <v>6.07</v>
      </c>
      <c r="H569" s="1">
        <f t="shared" si="18"/>
        <v>0.02</v>
      </c>
    </row>
    <row r="570" spans="2:8" x14ac:dyDescent="0.25">
      <c r="C570" s="178"/>
      <c r="F570" s="1" t="s">
        <v>45</v>
      </c>
      <c r="H570" s="1">
        <f>TRUNC(SUM(H561:H569),2)</f>
        <v>58.29</v>
      </c>
    </row>
    <row r="571" spans="2:8" x14ac:dyDescent="0.25">
      <c r="B571" s="17" t="s">
        <v>776</v>
      </c>
      <c r="C571" s="178" t="s">
        <v>560</v>
      </c>
      <c r="D571" s="2" t="s">
        <v>562</v>
      </c>
      <c r="E571" s="2" t="s">
        <v>23</v>
      </c>
      <c r="F571" s="1">
        <v>1</v>
      </c>
      <c r="G571" s="1">
        <f>H579</f>
        <v>48.42</v>
      </c>
      <c r="H571" s="1">
        <f t="shared" ref="H571:H578" si="19">TRUNC(F571*G571,2)</f>
        <v>48.42</v>
      </c>
    </row>
    <row r="572" spans="2:8" x14ac:dyDescent="0.25">
      <c r="C572" s="178" t="s">
        <v>68</v>
      </c>
      <c r="D572" s="2" t="s">
        <v>69</v>
      </c>
      <c r="E572" s="2" t="s">
        <v>44</v>
      </c>
      <c r="F572" s="1">
        <v>0.2472</v>
      </c>
      <c r="G572" s="1">
        <f>TRUNC(12.54,2)</f>
        <v>12.54</v>
      </c>
      <c r="H572" s="1">
        <f t="shared" si="19"/>
        <v>3.09</v>
      </c>
    </row>
    <row r="573" spans="2:8" x14ac:dyDescent="0.25">
      <c r="C573" s="178" t="s">
        <v>563</v>
      </c>
      <c r="D573" s="2" t="s">
        <v>564</v>
      </c>
      <c r="E573" s="2" t="s">
        <v>44</v>
      </c>
      <c r="F573" s="1">
        <v>8.2400000000000001E-2</v>
      </c>
      <c r="G573" s="1">
        <f>TRUNC(17.3,2)</f>
        <v>17.3</v>
      </c>
      <c r="H573" s="1">
        <f t="shared" si="19"/>
        <v>1.42</v>
      </c>
    </row>
    <row r="574" spans="2:8" x14ac:dyDescent="0.25">
      <c r="C574" s="178" t="s">
        <v>565</v>
      </c>
      <c r="D574" s="2" t="s">
        <v>566</v>
      </c>
      <c r="E574" s="2" t="s">
        <v>21</v>
      </c>
      <c r="F574" s="1">
        <v>0.62</v>
      </c>
      <c r="G574" s="1">
        <f>TRUNC(47.5933,2)</f>
        <v>47.59</v>
      </c>
      <c r="H574" s="1">
        <f t="shared" si="19"/>
        <v>29.5</v>
      </c>
    </row>
    <row r="575" spans="2:8" x14ac:dyDescent="0.25">
      <c r="C575" s="178" t="s">
        <v>400</v>
      </c>
      <c r="D575" s="2" t="s">
        <v>401</v>
      </c>
      <c r="E575" s="2" t="s">
        <v>24</v>
      </c>
      <c r="F575" s="1">
        <v>4.2000000000000003E-2</v>
      </c>
      <c r="G575" s="1">
        <f>TRUNC(57.1022,2)</f>
        <v>57.1</v>
      </c>
      <c r="H575" s="1">
        <f t="shared" si="19"/>
        <v>2.39</v>
      </c>
    </row>
    <row r="576" spans="2:8" x14ac:dyDescent="0.25">
      <c r="C576" s="178" t="s">
        <v>398</v>
      </c>
      <c r="D576" s="2" t="s">
        <v>399</v>
      </c>
      <c r="E576" s="2" t="s">
        <v>24</v>
      </c>
      <c r="F576" s="1">
        <v>4.2000000000000003E-2</v>
      </c>
      <c r="G576" s="1">
        <f>TRUNC(62.5225,2)</f>
        <v>62.52</v>
      </c>
      <c r="H576" s="1">
        <f t="shared" si="19"/>
        <v>2.62</v>
      </c>
    </row>
    <row r="577" spans="2:8" x14ac:dyDescent="0.25">
      <c r="C577" s="178" t="s">
        <v>449</v>
      </c>
      <c r="D577" s="2" t="s">
        <v>450</v>
      </c>
      <c r="E577" s="2" t="s">
        <v>24</v>
      </c>
      <c r="F577" s="1">
        <v>4.2000000000000003E-2</v>
      </c>
      <c r="G577" s="1">
        <f>TRUNC(209.2239,2)</f>
        <v>209.22</v>
      </c>
      <c r="H577" s="1">
        <f t="shared" si="19"/>
        <v>8.7799999999999994</v>
      </c>
    </row>
    <row r="578" spans="2:8" x14ac:dyDescent="0.25">
      <c r="C578" s="178" t="s">
        <v>567</v>
      </c>
      <c r="D578" s="2" t="s">
        <v>568</v>
      </c>
      <c r="E578" s="2" t="s">
        <v>24</v>
      </c>
      <c r="F578" s="1">
        <v>2.5000000000000001E-3</v>
      </c>
      <c r="G578" s="1">
        <f>TRUNC(248.3996,2)</f>
        <v>248.39</v>
      </c>
      <c r="H578" s="1">
        <f t="shared" si="19"/>
        <v>0.62</v>
      </c>
    </row>
    <row r="579" spans="2:8" x14ac:dyDescent="0.25">
      <c r="C579" s="178"/>
      <c r="F579" s="1" t="s">
        <v>45</v>
      </c>
      <c r="H579" s="1">
        <f>TRUNC(SUM(H572:H578),2)</f>
        <v>48.42</v>
      </c>
    </row>
    <row r="580" spans="2:8" x14ac:dyDescent="0.25">
      <c r="B580" s="17" t="s">
        <v>777</v>
      </c>
      <c r="C580" s="178" t="s">
        <v>561</v>
      </c>
      <c r="D580" s="2" t="s">
        <v>234</v>
      </c>
      <c r="E580" s="2" t="s">
        <v>23</v>
      </c>
      <c r="F580" s="1">
        <v>1</v>
      </c>
      <c r="G580" s="1">
        <f>H588</f>
        <v>53.26</v>
      </c>
      <c r="H580" s="1">
        <f t="shared" ref="H580:H587" si="20">TRUNC(F580*G580,2)</f>
        <v>53.26</v>
      </c>
    </row>
    <row r="581" spans="2:8" x14ac:dyDescent="0.25">
      <c r="C581" s="178" t="s">
        <v>68</v>
      </c>
      <c r="D581" s="2" t="s">
        <v>69</v>
      </c>
      <c r="E581" s="2" t="s">
        <v>44</v>
      </c>
      <c r="F581" s="1">
        <v>0.27192</v>
      </c>
      <c r="G581" s="1">
        <f>TRUNC(12.54,2)</f>
        <v>12.54</v>
      </c>
      <c r="H581" s="1">
        <f t="shared" si="20"/>
        <v>3.4</v>
      </c>
    </row>
    <row r="582" spans="2:8" x14ac:dyDescent="0.25">
      <c r="C582" s="178" t="s">
        <v>563</v>
      </c>
      <c r="D582" s="2" t="s">
        <v>564</v>
      </c>
      <c r="E582" s="2" t="s">
        <v>44</v>
      </c>
      <c r="F582" s="1">
        <v>9.0639999999999998E-2</v>
      </c>
      <c r="G582" s="1">
        <f>TRUNC(17.3,2)</f>
        <v>17.3</v>
      </c>
      <c r="H582" s="1">
        <f t="shared" si="20"/>
        <v>1.56</v>
      </c>
    </row>
    <row r="583" spans="2:8" x14ac:dyDescent="0.25">
      <c r="C583" s="178" t="s">
        <v>565</v>
      </c>
      <c r="D583" s="2" t="s">
        <v>566</v>
      </c>
      <c r="E583" s="2" t="s">
        <v>21</v>
      </c>
      <c r="F583" s="1">
        <v>0.68200000000000005</v>
      </c>
      <c r="G583" s="1">
        <f>TRUNC(47.5933,2)</f>
        <v>47.59</v>
      </c>
      <c r="H583" s="1">
        <f t="shared" si="20"/>
        <v>32.450000000000003</v>
      </c>
    </row>
    <row r="584" spans="2:8" x14ac:dyDescent="0.25">
      <c r="C584" s="178" t="s">
        <v>400</v>
      </c>
      <c r="D584" s="2" t="s">
        <v>401</v>
      </c>
      <c r="E584" s="2" t="s">
        <v>24</v>
      </c>
      <c r="F584" s="1">
        <v>4.6200000000000005E-2</v>
      </c>
      <c r="G584" s="1">
        <f>TRUNC(57.1022,2)</f>
        <v>57.1</v>
      </c>
      <c r="H584" s="1">
        <f t="shared" si="20"/>
        <v>2.63</v>
      </c>
    </row>
    <row r="585" spans="2:8" x14ac:dyDescent="0.25">
      <c r="C585" s="178" t="s">
        <v>398</v>
      </c>
      <c r="D585" s="2" t="s">
        <v>399</v>
      </c>
      <c r="E585" s="2" t="s">
        <v>24</v>
      </c>
      <c r="F585" s="1">
        <v>4.6200000000000005E-2</v>
      </c>
      <c r="G585" s="1">
        <f>TRUNC(62.5225,2)</f>
        <v>62.52</v>
      </c>
      <c r="H585" s="1">
        <f t="shared" si="20"/>
        <v>2.88</v>
      </c>
    </row>
    <row r="586" spans="2:8" x14ac:dyDescent="0.25">
      <c r="C586" s="178" t="s">
        <v>449</v>
      </c>
      <c r="D586" s="2" t="s">
        <v>450</v>
      </c>
      <c r="E586" s="2" t="s">
        <v>24</v>
      </c>
      <c r="F586" s="1">
        <v>4.6200000000000005E-2</v>
      </c>
      <c r="G586" s="1">
        <f>TRUNC(209.2239,2)</f>
        <v>209.22</v>
      </c>
      <c r="H586" s="1">
        <f t="shared" si="20"/>
        <v>9.66</v>
      </c>
    </row>
    <row r="587" spans="2:8" x14ac:dyDescent="0.25">
      <c r="C587" s="178" t="s">
        <v>567</v>
      </c>
      <c r="D587" s="2" t="s">
        <v>568</v>
      </c>
      <c r="E587" s="2" t="s">
        <v>24</v>
      </c>
      <c r="F587" s="1">
        <v>2.7500000000000003E-3</v>
      </c>
      <c r="G587" s="1">
        <f>TRUNC(248.3996,2)</f>
        <v>248.39</v>
      </c>
      <c r="H587" s="1">
        <f t="shared" si="20"/>
        <v>0.68</v>
      </c>
    </row>
    <row r="588" spans="2:8" x14ac:dyDescent="0.25">
      <c r="C588" s="178"/>
      <c r="F588" s="1" t="s">
        <v>45</v>
      </c>
      <c r="H588" s="1">
        <f>TRUNC(SUM(H581:H587),2)</f>
        <v>53.26</v>
      </c>
    </row>
    <row r="589" spans="2:8" x14ac:dyDescent="0.25">
      <c r="B589" s="17" t="s">
        <v>778</v>
      </c>
      <c r="C589" s="178" t="s">
        <v>639</v>
      </c>
      <c r="D589" s="2" t="s">
        <v>30</v>
      </c>
      <c r="E589" s="2" t="s">
        <v>21</v>
      </c>
      <c r="F589" s="1">
        <v>1</v>
      </c>
      <c r="G589" s="1">
        <f>H597</f>
        <v>111.95</v>
      </c>
      <c r="H589" s="1">
        <f t="shared" ref="H589:H596" si="21">TRUNC(F589*G589,2)</f>
        <v>111.95</v>
      </c>
    </row>
    <row r="590" spans="2:8" x14ac:dyDescent="0.25">
      <c r="C590" s="178" t="s">
        <v>89</v>
      </c>
      <c r="D590" s="2" t="s">
        <v>90</v>
      </c>
      <c r="E590" s="2" t="s">
        <v>21</v>
      </c>
      <c r="F590" s="1">
        <v>1.05</v>
      </c>
      <c r="G590" s="1">
        <f>TRUNC(58.8,2)</f>
        <v>58.8</v>
      </c>
      <c r="H590" s="1">
        <f t="shared" si="21"/>
        <v>61.74</v>
      </c>
    </row>
    <row r="591" spans="2:8" x14ac:dyDescent="0.25">
      <c r="C591" s="178" t="s">
        <v>91</v>
      </c>
      <c r="D591" s="2" t="s">
        <v>92</v>
      </c>
      <c r="E591" s="2" t="s">
        <v>29</v>
      </c>
      <c r="F591" s="1">
        <v>0.1</v>
      </c>
      <c r="G591" s="1">
        <f>TRUNC(32,2)</f>
        <v>32</v>
      </c>
      <c r="H591" s="1">
        <f t="shared" si="21"/>
        <v>3.2</v>
      </c>
    </row>
    <row r="592" spans="2:8" x14ac:dyDescent="0.25">
      <c r="C592" s="178" t="s">
        <v>61</v>
      </c>
      <c r="D592" s="2" t="s">
        <v>62</v>
      </c>
      <c r="E592" s="2" t="s">
        <v>29</v>
      </c>
      <c r="F592" s="1">
        <v>0.1</v>
      </c>
      <c r="G592" s="1">
        <f>TRUNC(1.75,2)</f>
        <v>1.75</v>
      </c>
      <c r="H592" s="1">
        <f t="shared" si="21"/>
        <v>0.17</v>
      </c>
    </row>
    <row r="593" spans="2:8" x14ac:dyDescent="0.25">
      <c r="C593" s="178" t="s">
        <v>68</v>
      </c>
      <c r="D593" s="2" t="s">
        <v>69</v>
      </c>
      <c r="E593" s="2" t="s">
        <v>44</v>
      </c>
      <c r="F593" s="1">
        <v>1.1330000000000002</v>
      </c>
      <c r="G593" s="1">
        <f>TRUNC(12.54,2)</f>
        <v>12.54</v>
      </c>
      <c r="H593" s="1">
        <f t="shared" si="21"/>
        <v>14.2</v>
      </c>
    </row>
    <row r="594" spans="2:8" x14ac:dyDescent="0.25">
      <c r="C594" s="178" t="s">
        <v>641</v>
      </c>
      <c r="D594" s="2" t="s">
        <v>642</v>
      </c>
      <c r="E594" s="2" t="s">
        <v>44</v>
      </c>
      <c r="F594" s="1">
        <v>1.1330000000000002</v>
      </c>
      <c r="G594" s="1">
        <f>TRUNC(18.63,2)</f>
        <v>18.63</v>
      </c>
      <c r="H594" s="1">
        <f t="shared" si="21"/>
        <v>21.1</v>
      </c>
    </row>
    <row r="595" spans="2:8" x14ac:dyDescent="0.25">
      <c r="C595" s="178" t="s">
        <v>643</v>
      </c>
      <c r="D595" s="2" t="s">
        <v>644</v>
      </c>
      <c r="E595" s="2" t="s">
        <v>24</v>
      </c>
      <c r="F595" s="1">
        <v>3.5000000000000003E-2</v>
      </c>
      <c r="G595" s="1">
        <f>TRUNC(298.4282,2)</f>
        <v>298.42</v>
      </c>
      <c r="H595" s="1">
        <f t="shared" si="21"/>
        <v>10.44</v>
      </c>
    </row>
    <row r="596" spans="2:8" x14ac:dyDescent="0.25">
      <c r="C596" s="178" t="s">
        <v>645</v>
      </c>
      <c r="D596" s="2" t="s">
        <v>646</v>
      </c>
      <c r="E596" s="2" t="s">
        <v>24</v>
      </c>
      <c r="F596" s="1">
        <v>2E-3</v>
      </c>
      <c r="G596" s="1">
        <f>TRUNC(553.7458,2)</f>
        <v>553.74</v>
      </c>
      <c r="H596" s="1">
        <f t="shared" si="21"/>
        <v>1.1000000000000001</v>
      </c>
    </row>
    <row r="597" spans="2:8" x14ac:dyDescent="0.25">
      <c r="C597" s="178"/>
      <c r="F597" s="1" t="s">
        <v>45</v>
      </c>
      <c r="H597" s="1">
        <f>TRUNC(SUM(H590:H596),2)</f>
        <v>111.95</v>
      </c>
    </row>
    <row r="598" spans="2:8" x14ac:dyDescent="0.25">
      <c r="B598" s="17" t="s">
        <v>905</v>
      </c>
      <c r="C598" s="226" t="s">
        <v>906</v>
      </c>
      <c r="D598" s="190" t="s">
        <v>907</v>
      </c>
      <c r="E598" s="190" t="s">
        <v>21</v>
      </c>
      <c r="F598" s="1">
        <v>1</v>
      </c>
      <c r="G598" s="1">
        <f>H606</f>
        <v>111.95</v>
      </c>
      <c r="H598" s="1">
        <f t="shared" ref="H598:H605" si="22">TRUNC(F598*G598,2)</f>
        <v>111.95</v>
      </c>
    </row>
    <row r="599" spans="2:8" x14ac:dyDescent="0.25">
      <c r="C599" s="178" t="s">
        <v>908</v>
      </c>
      <c r="D599" s="2" t="s">
        <v>909</v>
      </c>
      <c r="E599" s="2" t="s">
        <v>21</v>
      </c>
      <c r="F599" s="1">
        <v>1.05</v>
      </c>
      <c r="G599" s="1">
        <f>TRUNC(58.8,2)</f>
        <v>58.8</v>
      </c>
      <c r="H599" s="1">
        <f t="shared" si="22"/>
        <v>61.74</v>
      </c>
    </row>
    <row r="600" spans="2:8" x14ac:dyDescent="0.25">
      <c r="C600" s="178" t="s">
        <v>91</v>
      </c>
      <c r="D600" s="2" t="s">
        <v>92</v>
      </c>
      <c r="E600" s="2" t="s">
        <v>29</v>
      </c>
      <c r="F600" s="1">
        <v>0.1</v>
      </c>
      <c r="G600" s="1">
        <f>TRUNC(32,2)</f>
        <v>32</v>
      </c>
      <c r="H600" s="1">
        <f t="shared" si="22"/>
        <v>3.2</v>
      </c>
    </row>
    <row r="601" spans="2:8" x14ac:dyDescent="0.25">
      <c r="C601" s="178" t="s">
        <v>61</v>
      </c>
      <c r="D601" s="2" t="s">
        <v>62</v>
      </c>
      <c r="E601" s="2" t="s">
        <v>29</v>
      </c>
      <c r="F601" s="1">
        <v>0.1</v>
      </c>
      <c r="G601" s="1">
        <f>TRUNC(1.75,2)</f>
        <v>1.75</v>
      </c>
      <c r="H601" s="1">
        <f t="shared" si="22"/>
        <v>0.17</v>
      </c>
    </row>
    <row r="602" spans="2:8" x14ac:dyDescent="0.25">
      <c r="C602" s="178" t="s">
        <v>68</v>
      </c>
      <c r="D602" s="2" t="s">
        <v>69</v>
      </c>
      <c r="E602" s="2" t="s">
        <v>44</v>
      </c>
      <c r="F602" s="1">
        <v>1.1330000000000002</v>
      </c>
      <c r="G602" s="1">
        <f>TRUNC(12.54,2)</f>
        <v>12.54</v>
      </c>
      <c r="H602" s="1">
        <f t="shared" si="22"/>
        <v>14.2</v>
      </c>
    </row>
    <row r="603" spans="2:8" x14ac:dyDescent="0.25">
      <c r="C603" s="178" t="s">
        <v>641</v>
      </c>
      <c r="D603" s="2" t="s">
        <v>642</v>
      </c>
      <c r="E603" s="2" t="s">
        <v>44</v>
      </c>
      <c r="F603" s="1">
        <v>1.1330000000000002</v>
      </c>
      <c r="G603" s="1">
        <f>TRUNC(18.63,2)</f>
        <v>18.63</v>
      </c>
      <c r="H603" s="1">
        <f t="shared" si="22"/>
        <v>21.1</v>
      </c>
    </row>
    <row r="604" spans="2:8" x14ac:dyDescent="0.25">
      <c r="C604" s="178" t="s">
        <v>643</v>
      </c>
      <c r="D604" s="2" t="s">
        <v>644</v>
      </c>
      <c r="E604" s="2" t="s">
        <v>24</v>
      </c>
      <c r="F604" s="1">
        <v>3.5000000000000003E-2</v>
      </c>
      <c r="G604" s="1">
        <f>TRUNC(298.4282,2)</f>
        <v>298.42</v>
      </c>
      <c r="H604" s="1">
        <f t="shared" si="22"/>
        <v>10.44</v>
      </c>
    </row>
    <row r="605" spans="2:8" x14ac:dyDescent="0.25">
      <c r="C605" s="178" t="s">
        <v>645</v>
      </c>
      <c r="D605" s="2" t="s">
        <v>646</v>
      </c>
      <c r="E605" s="2" t="s">
        <v>24</v>
      </c>
      <c r="F605" s="1">
        <v>2E-3</v>
      </c>
      <c r="G605" s="1">
        <f>TRUNC(553.7458,2)</f>
        <v>553.74</v>
      </c>
      <c r="H605" s="1">
        <f t="shared" si="22"/>
        <v>1.1000000000000001</v>
      </c>
    </row>
    <row r="606" spans="2:8" x14ac:dyDescent="0.25">
      <c r="C606" s="178"/>
      <c r="F606" s="1" t="s">
        <v>45</v>
      </c>
      <c r="H606" s="1">
        <f>TRUNC(SUM(H599:H605),2)</f>
        <v>111.95</v>
      </c>
    </row>
    <row r="607" spans="2:8" x14ac:dyDescent="0.25">
      <c r="C607" s="178"/>
    </row>
    <row r="608" spans="2:8" x14ac:dyDescent="0.25">
      <c r="B608" s="17">
        <v>9</v>
      </c>
      <c r="D608" s="9" t="s">
        <v>673</v>
      </c>
    </row>
    <row r="609" spans="2:8" x14ac:dyDescent="0.25">
      <c r="B609" s="17" t="s">
        <v>779</v>
      </c>
      <c r="C609" s="184" t="s">
        <v>479</v>
      </c>
      <c r="D609" s="2" t="s">
        <v>147</v>
      </c>
      <c r="E609" s="2" t="s">
        <v>21</v>
      </c>
      <c r="F609" s="1">
        <v>1</v>
      </c>
      <c r="G609" s="1">
        <f>TRUNC(5.569,2)</f>
        <v>5.56</v>
      </c>
      <c r="H609" s="1">
        <f>TRUNC(F609*G609,2)</f>
        <v>5.56</v>
      </c>
    </row>
    <row r="610" spans="2:8" x14ac:dyDescent="0.25">
      <c r="C610" s="184" t="s">
        <v>480</v>
      </c>
      <c r="D610" s="2" t="s">
        <v>87</v>
      </c>
      <c r="E610" s="2" t="s">
        <v>21</v>
      </c>
      <c r="F610" s="1">
        <v>1.1000000000000001</v>
      </c>
      <c r="G610" s="1">
        <f>TRUNC(0.77,2)</f>
        <v>0.77</v>
      </c>
      <c r="H610" s="1">
        <f>TRUNC(F610*G610,2)</f>
        <v>0.84</v>
      </c>
    </row>
    <row r="611" spans="2:8" x14ac:dyDescent="0.25">
      <c r="C611" s="184" t="s">
        <v>481</v>
      </c>
      <c r="D611" s="2" t="s">
        <v>148</v>
      </c>
      <c r="E611" s="2" t="s">
        <v>44</v>
      </c>
      <c r="F611" s="1">
        <v>0.2</v>
      </c>
      <c r="G611" s="1">
        <f>TRUNC(23.61,2)</f>
        <v>23.61</v>
      </c>
      <c r="H611" s="1">
        <f>TRUNC(F611*G611,2)</f>
        <v>4.72</v>
      </c>
    </row>
    <row r="612" spans="2:8" x14ac:dyDescent="0.25">
      <c r="F612" s="1" t="s">
        <v>45</v>
      </c>
      <c r="H612" s="1">
        <f>TRUNC(SUM(H610:H611),2)</f>
        <v>5.56</v>
      </c>
    </row>
    <row r="613" spans="2:8" ht="30" x14ac:dyDescent="0.25">
      <c r="B613" s="17" t="s">
        <v>780</v>
      </c>
      <c r="C613" s="208" t="s">
        <v>468</v>
      </c>
      <c r="D613" s="2" t="s">
        <v>482</v>
      </c>
      <c r="E613" s="2" t="s">
        <v>29</v>
      </c>
      <c r="F613" s="1">
        <v>1</v>
      </c>
      <c r="G613" s="1">
        <f>H619</f>
        <v>6.7072000000000003</v>
      </c>
    </row>
    <row r="614" spans="2:8" x14ac:dyDescent="0.25">
      <c r="C614" s="207" t="s">
        <v>467</v>
      </c>
      <c r="D614" s="91" t="s">
        <v>144</v>
      </c>
      <c r="E614" s="91" t="s">
        <v>29</v>
      </c>
      <c r="F614" s="92">
        <v>1.03</v>
      </c>
      <c r="G614" s="92">
        <f>TRUNC(5.19,2)</f>
        <v>5.19</v>
      </c>
      <c r="H614" s="92"/>
    </row>
    <row r="615" spans="2:8" ht="15" customHeight="1" x14ac:dyDescent="0.25">
      <c r="B615" s="181"/>
      <c r="C615" s="204" t="s">
        <v>145</v>
      </c>
      <c r="D615" s="35" t="s">
        <v>146</v>
      </c>
      <c r="E615" s="34" t="s">
        <v>29</v>
      </c>
      <c r="F615" s="57">
        <v>1.03</v>
      </c>
      <c r="G615" s="57">
        <v>5.24</v>
      </c>
      <c r="H615" s="57">
        <f>F615*G615</f>
        <v>5.3972000000000007</v>
      </c>
    </row>
    <row r="616" spans="2:8" x14ac:dyDescent="0.25">
      <c r="C616" s="184" t="s">
        <v>142</v>
      </c>
      <c r="D616" s="2" t="s">
        <v>140</v>
      </c>
      <c r="E616" s="2" t="s">
        <v>29</v>
      </c>
      <c r="F616" s="1">
        <v>1.03E-2</v>
      </c>
      <c r="G616" s="1">
        <f>TRUNC(10.55,2)</f>
        <v>10.55</v>
      </c>
      <c r="H616" s="1">
        <f>TRUNC(F616*G616,2)</f>
        <v>0.1</v>
      </c>
    </row>
    <row r="617" spans="2:8" x14ac:dyDescent="0.25">
      <c r="C617" s="184" t="s">
        <v>74</v>
      </c>
      <c r="D617" s="2" t="s">
        <v>46</v>
      </c>
      <c r="E617" s="2" t="s">
        <v>44</v>
      </c>
      <c r="F617" s="1">
        <v>0.04</v>
      </c>
      <c r="G617" s="1">
        <f>TRUNC(18.78,2)</f>
        <v>18.78</v>
      </c>
      <c r="H617" s="1">
        <f>TRUNC(F617*G617,2)</f>
        <v>0.75</v>
      </c>
    </row>
    <row r="618" spans="2:8" x14ac:dyDescent="0.25">
      <c r="C618" s="184" t="s">
        <v>143</v>
      </c>
      <c r="D618" s="2" t="s">
        <v>141</v>
      </c>
      <c r="E618" s="2" t="s">
        <v>44</v>
      </c>
      <c r="F618" s="1">
        <v>0.02</v>
      </c>
      <c r="G618" s="1">
        <f>TRUNC(23.48,2)</f>
        <v>23.48</v>
      </c>
      <c r="H618" s="1">
        <f>TRUNC(F618*G618,2)</f>
        <v>0.46</v>
      </c>
    </row>
    <row r="619" spans="2:8" x14ac:dyDescent="0.25">
      <c r="F619" s="1" t="s">
        <v>45</v>
      </c>
      <c r="H619" s="1">
        <f>SUM(H614:H618)</f>
        <v>6.7072000000000003</v>
      </c>
    </row>
    <row r="620" spans="2:8" x14ac:dyDescent="0.25">
      <c r="B620" s="17" t="s">
        <v>781</v>
      </c>
      <c r="C620" s="184" t="s">
        <v>436</v>
      </c>
      <c r="D620" s="2" t="s">
        <v>354</v>
      </c>
      <c r="E620" s="2" t="s">
        <v>24</v>
      </c>
      <c r="F620" s="1">
        <v>1</v>
      </c>
      <c r="G620" s="1">
        <f>H624</f>
        <v>361.8</v>
      </c>
      <c r="H620" s="1">
        <f>TRUNC(F620*G620,2)</f>
        <v>361.8</v>
      </c>
    </row>
    <row r="621" spans="2:8" x14ac:dyDescent="0.25">
      <c r="C621" s="184" t="s">
        <v>447</v>
      </c>
      <c r="D621" s="2" t="s">
        <v>448</v>
      </c>
      <c r="E621" s="2" t="s">
        <v>24</v>
      </c>
      <c r="F621" s="1">
        <v>1</v>
      </c>
      <c r="G621" s="1">
        <f>TRUNC(90.0677,2)</f>
        <v>90.06</v>
      </c>
      <c r="H621" s="1">
        <f>TRUNC(F621*G621,2)</f>
        <v>90.06</v>
      </c>
    </row>
    <row r="622" spans="2:8" x14ac:dyDescent="0.25">
      <c r="C622" s="184" t="s">
        <v>398</v>
      </c>
      <c r="D622" s="2" t="s">
        <v>399</v>
      </c>
      <c r="E622" s="2" t="s">
        <v>24</v>
      </c>
      <c r="F622" s="1">
        <v>1</v>
      </c>
      <c r="G622" s="1">
        <f>TRUNC(62.5225,2)</f>
        <v>62.52</v>
      </c>
      <c r="H622" s="1">
        <f>TRUNC(F622*G622,2)</f>
        <v>62.52</v>
      </c>
    </row>
    <row r="623" spans="2:8" x14ac:dyDescent="0.25">
      <c r="C623" s="184" t="s">
        <v>449</v>
      </c>
      <c r="D623" s="2" t="s">
        <v>450</v>
      </c>
      <c r="E623" s="2" t="s">
        <v>24</v>
      </c>
      <c r="F623" s="1">
        <v>1</v>
      </c>
      <c r="G623" s="1">
        <f>TRUNC(209.2239,2)</f>
        <v>209.22</v>
      </c>
      <c r="H623" s="1">
        <f>TRUNC(F623*G623,2)</f>
        <v>209.22</v>
      </c>
    </row>
    <row r="624" spans="2:8" x14ac:dyDescent="0.25">
      <c r="F624" s="1" t="s">
        <v>45</v>
      </c>
      <c r="H624" s="1">
        <f>TRUNC(SUM(H621:H623),2)</f>
        <v>361.8</v>
      </c>
    </row>
    <row r="625" spans="2:8" x14ac:dyDescent="0.25">
      <c r="B625" s="17" t="s">
        <v>782</v>
      </c>
      <c r="C625" s="184" t="s">
        <v>437</v>
      </c>
      <c r="D625" s="2" t="s">
        <v>451</v>
      </c>
      <c r="E625" s="2" t="s">
        <v>24</v>
      </c>
      <c r="F625" s="1">
        <v>1</v>
      </c>
      <c r="G625" s="1">
        <f>H631</f>
        <v>389.98</v>
      </c>
      <c r="H625" s="1">
        <f t="shared" ref="H625:H630" si="23">TRUNC(F625*G625,2)</f>
        <v>389.98</v>
      </c>
    </row>
    <row r="626" spans="2:8" x14ac:dyDescent="0.25">
      <c r="C626" s="184" t="s">
        <v>347</v>
      </c>
      <c r="D626" s="2" t="s">
        <v>348</v>
      </c>
      <c r="E626" s="2" t="s">
        <v>118</v>
      </c>
      <c r="F626" s="1">
        <v>1.2088650000000001</v>
      </c>
      <c r="G626" s="1">
        <f>TRUNC(52.215,2)</f>
        <v>52.21</v>
      </c>
      <c r="H626" s="1">
        <f t="shared" si="23"/>
        <v>63.11</v>
      </c>
    </row>
    <row r="627" spans="2:8" x14ac:dyDescent="0.25">
      <c r="C627" s="184" t="s">
        <v>356</v>
      </c>
      <c r="D627" s="2" t="s">
        <v>357</v>
      </c>
      <c r="E627" s="2" t="s">
        <v>29</v>
      </c>
      <c r="F627" s="1">
        <v>409.5</v>
      </c>
      <c r="G627" s="1">
        <f>TRUNC(0.35,2)</f>
        <v>0.35</v>
      </c>
      <c r="H627" s="1">
        <f t="shared" si="23"/>
        <v>143.32</v>
      </c>
    </row>
    <row r="628" spans="2:8" x14ac:dyDescent="0.25">
      <c r="C628" s="184" t="s">
        <v>358</v>
      </c>
      <c r="D628" s="2" t="s">
        <v>359</v>
      </c>
      <c r="E628" s="2" t="s">
        <v>24</v>
      </c>
      <c r="F628" s="1">
        <v>0.61949999999999994</v>
      </c>
      <c r="G628" s="1">
        <f>TRUNC(50,2)</f>
        <v>50</v>
      </c>
      <c r="H628" s="1">
        <f t="shared" si="23"/>
        <v>30.97</v>
      </c>
    </row>
    <row r="629" spans="2:8" x14ac:dyDescent="0.25">
      <c r="C629" s="184" t="s">
        <v>447</v>
      </c>
      <c r="D629" s="2" t="s">
        <v>448</v>
      </c>
      <c r="E629" s="2" t="s">
        <v>24</v>
      </c>
      <c r="F629" s="1">
        <v>1</v>
      </c>
      <c r="G629" s="1">
        <f>TRUNC(90.0677,2)</f>
        <v>90.06</v>
      </c>
      <c r="H629" s="1">
        <f t="shared" si="23"/>
        <v>90.06</v>
      </c>
    </row>
    <row r="630" spans="2:8" x14ac:dyDescent="0.25">
      <c r="C630" s="184" t="s">
        <v>398</v>
      </c>
      <c r="D630" s="2" t="s">
        <v>399</v>
      </c>
      <c r="E630" s="2" t="s">
        <v>24</v>
      </c>
      <c r="F630" s="1">
        <v>1</v>
      </c>
      <c r="G630" s="1">
        <f>TRUNC(62.5225,2)</f>
        <v>62.52</v>
      </c>
      <c r="H630" s="1">
        <f t="shared" si="23"/>
        <v>62.52</v>
      </c>
    </row>
    <row r="631" spans="2:8" x14ac:dyDescent="0.25">
      <c r="F631" s="1" t="s">
        <v>45</v>
      </c>
      <c r="H631" s="1">
        <f>TRUNC(SUM(H626:H630),2)</f>
        <v>389.98</v>
      </c>
    </row>
    <row r="632" spans="2:8" x14ac:dyDescent="0.25">
      <c r="B632" s="17" t="s">
        <v>783</v>
      </c>
      <c r="C632" s="184" t="s">
        <v>483</v>
      </c>
      <c r="D632" s="2" t="s">
        <v>139</v>
      </c>
      <c r="E632" s="2" t="s">
        <v>21</v>
      </c>
      <c r="F632" s="1">
        <v>1</v>
      </c>
      <c r="G632" s="1">
        <f>H643</f>
        <v>52.22</v>
      </c>
      <c r="H632" s="1">
        <f t="shared" ref="H632:H642" si="24">TRUNC(F632*G632,2)</f>
        <v>52.22</v>
      </c>
    </row>
    <row r="633" spans="2:8" x14ac:dyDescent="0.25">
      <c r="C633" s="184" t="s">
        <v>484</v>
      </c>
      <c r="D633" s="2" t="s">
        <v>137</v>
      </c>
      <c r="E633" s="2" t="s">
        <v>29</v>
      </c>
      <c r="F633" s="1">
        <v>3.4000000000000002E-2</v>
      </c>
      <c r="G633" s="1">
        <f>TRUNC(12.49,2)</f>
        <v>12.49</v>
      </c>
      <c r="H633" s="1">
        <f t="shared" si="24"/>
        <v>0.42</v>
      </c>
    </row>
    <row r="634" spans="2:8" x14ac:dyDescent="0.25">
      <c r="C634" s="184" t="s">
        <v>485</v>
      </c>
      <c r="D634" s="2" t="s">
        <v>95</v>
      </c>
      <c r="E634" s="2" t="s">
        <v>23</v>
      </c>
      <c r="F634" s="1">
        <v>1.008</v>
      </c>
      <c r="G634" s="1">
        <f>TRUNC(8.07,2)</f>
        <v>8.07</v>
      </c>
      <c r="H634" s="1">
        <f t="shared" si="24"/>
        <v>8.1300000000000008</v>
      </c>
    </row>
    <row r="635" spans="2:8" x14ac:dyDescent="0.25">
      <c r="C635" s="184" t="s">
        <v>486</v>
      </c>
      <c r="D635" s="2" t="s">
        <v>138</v>
      </c>
      <c r="E635" s="2" t="s">
        <v>29</v>
      </c>
      <c r="F635" s="1">
        <v>2.5999999999999999E-2</v>
      </c>
      <c r="G635" s="1">
        <f>TRUNC(10.31,2)</f>
        <v>10.31</v>
      </c>
      <c r="H635" s="1">
        <f t="shared" si="24"/>
        <v>0.26</v>
      </c>
    </row>
    <row r="636" spans="2:8" x14ac:dyDescent="0.25">
      <c r="C636" s="184" t="s">
        <v>487</v>
      </c>
      <c r="D636" s="2" t="s">
        <v>86</v>
      </c>
      <c r="E636" s="2" t="s">
        <v>23</v>
      </c>
      <c r="F636" s="1">
        <v>0.56699999999999995</v>
      </c>
      <c r="G636" s="1">
        <f>TRUNC(0.97,2)</f>
        <v>0.97</v>
      </c>
      <c r="H636" s="1">
        <f t="shared" si="24"/>
        <v>0.54</v>
      </c>
    </row>
    <row r="637" spans="2:8" x14ac:dyDescent="0.25">
      <c r="C637" s="184" t="s">
        <v>488</v>
      </c>
      <c r="D637" s="2" t="s">
        <v>64</v>
      </c>
      <c r="E637" s="2" t="s">
        <v>23</v>
      </c>
      <c r="F637" s="1">
        <v>0.60499999999999998</v>
      </c>
      <c r="G637" s="1">
        <f>TRUNC(6.68,2)</f>
        <v>6.68</v>
      </c>
      <c r="H637" s="1">
        <f t="shared" si="24"/>
        <v>4.04</v>
      </c>
    </row>
    <row r="638" spans="2:8" x14ac:dyDescent="0.25">
      <c r="C638" s="184" t="s">
        <v>489</v>
      </c>
      <c r="D638" s="2" t="s">
        <v>65</v>
      </c>
      <c r="E638" s="2" t="s">
        <v>49</v>
      </c>
      <c r="F638" s="1">
        <v>1.7000000000000001E-2</v>
      </c>
      <c r="G638" s="1">
        <f>TRUNC(5.75,2)</f>
        <v>5.75</v>
      </c>
      <c r="H638" s="1">
        <f t="shared" si="24"/>
        <v>0.09</v>
      </c>
    </row>
    <row r="639" spans="2:8" x14ac:dyDescent="0.25">
      <c r="C639" s="184" t="s">
        <v>490</v>
      </c>
      <c r="D639" s="2" t="s">
        <v>88</v>
      </c>
      <c r="E639" s="2" t="s">
        <v>44</v>
      </c>
      <c r="F639" s="1">
        <v>1.145</v>
      </c>
      <c r="G639" s="1">
        <f>TRUNC(23.48,2)</f>
        <v>23.48</v>
      </c>
      <c r="H639" s="1">
        <f t="shared" si="24"/>
        <v>26.88</v>
      </c>
    </row>
    <row r="640" spans="2:8" x14ac:dyDescent="0.25">
      <c r="C640" s="184" t="s">
        <v>491</v>
      </c>
      <c r="D640" s="2" t="s">
        <v>80</v>
      </c>
      <c r="E640" s="2" t="s">
        <v>44</v>
      </c>
      <c r="F640" s="1">
        <v>0.47099999999999997</v>
      </c>
      <c r="G640" s="1">
        <f>TRUNC(23.52,2)</f>
        <v>23.52</v>
      </c>
      <c r="H640" s="1">
        <f t="shared" si="24"/>
        <v>11.07</v>
      </c>
    </row>
    <row r="641" spans="2:8" x14ac:dyDescent="0.25">
      <c r="C641" s="184" t="s">
        <v>492</v>
      </c>
      <c r="D641" s="2" t="s">
        <v>493</v>
      </c>
      <c r="E641" s="2" t="s">
        <v>47</v>
      </c>
      <c r="F641" s="1">
        <v>1.4E-2</v>
      </c>
      <c r="G641" s="1">
        <f>TRUNC(24.99,2)</f>
        <v>24.99</v>
      </c>
      <c r="H641" s="1">
        <f t="shared" si="24"/>
        <v>0.34</v>
      </c>
    </row>
    <row r="642" spans="2:8" x14ac:dyDescent="0.25">
      <c r="C642" s="184" t="s">
        <v>494</v>
      </c>
      <c r="D642" s="2" t="s">
        <v>495</v>
      </c>
      <c r="E642" s="2" t="s">
        <v>48</v>
      </c>
      <c r="F642" s="1">
        <v>1.7000000000000001E-2</v>
      </c>
      <c r="G642" s="1">
        <f>TRUNC(26.64,2)</f>
        <v>26.64</v>
      </c>
      <c r="H642" s="1">
        <f t="shared" si="24"/>
        <v>0.45</v>
      </c>
    </row>
    <row r="643" spans="2:8" x14ac:dyDescent="0.25">
      <c r="F643" s="1" t="s">
        <v>45</v>
      </c>
      <c r="H643" s="1">
        <f>TRUNC(SUM(H633:H642),2)</f>
        <v>52.22</v>
      </c>
    </row>
    <row r="644" spans="2:8" x14ac:dyDescent="0.25">
      <c r="C644" s="178"/>
    </row>
    <row r="645" spans="2:8" x14ac:dyDescent="0.25">
      <c r="B645" s="17">
        <v>10</v>
      </c>
      <c r="C645" s="178"/>
      <c r="D645" s="9" t="s">
        <v>275</v>
      </c>
    </row>
    <row r="646" spans="2:8" x14ac:dyDescent="0.25">
      <c r="B646" s="17" t="s">
        <v>784</v>
      </c>
      <c r="C646" s="178" t="s">
        <v>675</v>
      </c>
      <c r="D646" s="2" t="s">
        <v>676</v>
      </c>
      <c r="E646" s="2" t="s">
        <v>27</v>
      </c>
      <c r="F646" s="1">
        <v>1</v>
      </c>
      <c r="G646" s="1">
        <f>TRUNC(38.73805,2)</f>
        <v>38.729999999999997</v>
      </c>
      <c r="H646" s="1">
        <f t="shared" ref="H646:H651" si="25">TRUNC(F646*G646,2)</f>
        <v>38.729999999999997</v>
      </c>
    </row>
    <row r="647" spans="2:8" x14ac:dyDescent="0.25">
      <c r="C647" s="178" t="s">
        <v>628</v>
      </c>
      <c r="D647" s="2" t="s">
        <v>629</v>
      </c>
      <c r="E647" s="2" t="s">
        <v>21</v>
      </c>
      <c r="F647" s="1">
        <v>2</v>
      </c>
      <c r="G647" s="1">
        <f>TRUNC(7.49,2)</f>
        <v>7.49</v>
      </c>
      <c r="H647" s="1">
        <f t="shared" si="25"/>
        <v>14.98</v>
      </c>
    </row>
    <row r="648" spans="2:8" x14ac:dyDescent="0.25">
      <c r="C648" s="178" t="s">
        <v>630</v>
      </c>
      <c r="D648" s="2" t="s">
        <v>631</v>
      </c>
      <c r="E648" s="2" t="s">
        <v>27</v>
      </c>
      <c r="F648" s="1">
        <v>22</v>
      </c>
      <c r="G648" s="1">
        <f>TRUNC(0.03,2)</f>
        <v>0.03</v>
      </c>
      <c r="H648" s="1">
        <f t="shared" si="25"/>
        <v>0.66</v>
      </c>
    </row>
    <row r="649" spans="2:8" x14ac:dyDescent="0.25">
      <c r="C649" s="178" t="s">
        <v>632</v>
      </c>
      <c r="D649" s="2" t="s">
        <v>633</v>
      </c>
      <c r="E649" s="2" t="s">
        <v>29</v>
      </c>
      <c r="F649" s="1">
        <v>2.0249999999999999</v>
      </c>
      <c r="G649" s="1">
        <f>TRUNC(4.81,2)</f>
        <v>4.8099999999999996</v>
      </c>
      <c r="H649" s="1">
        <f t="shared" si="25"/>
        <v>9.74</v>
      </c>
    </row>
    <row r="650" spans="2:8" x14ac:dyDescent="0.25">
      <c r="C650" s="178" t="s">
        <v>634</v>
      </c>
      <c r="D650" s="2" t="s">
        <v>635</v>
      </c>
      <c r="E650" s="2" t="s">
        <v>23</v>
      </c>
      <c r="F650" s="1">
        <v>0.24</v>
      </c>
      <c r="G650" s="1">
        <f>TRUNC(1.84,2)</f>
        <v>1.84</v>
      </c>
      <c r="H650" s="1">
        <f t="shared" si="25"/>
        <v>0.44</v>
      </c>
    </row>
    <row r="651" spans="2:8" x14ac:dyDescent="0.25">
      <c r="C651" s="178" t="s">
        <v>68</v>
      </c>
      <c r="D651" s="2" t="s">
        <v>69</v>
      </c>
      <c r="E651" s="2" t="s">
        <v>44</v>
      </c>
      <c r="F651" s="1">
        <v>1.03</v>
      </c>
      <c r="G651" s="1">
        <f>TRUNC(12.54,2)</f>
        <v>12.54</v>
      </c>
      <c r="H651" s="1">
        <f t="shared" si="25"/>
        <v>12.91</v>
      </c>
    </row>
    <row r="652" spans="2:8" x14ac:dyDescent="0.25">
      <c r="C652" s="178"/>
      <c r="D652" s="9"/>
      <c r="F652" s="1" t="s">
        <v>45</v>
      </c>
      <c r="H652" s="1">
        <f>TRUNC(SUM(H647:H651),2)</f>
        <v>38.729999999999997</v>
      </c>
    </row>
    <row r="653" spans="2:8" ht="30" x14ac:dyDescent="0.25">
      <c r="B653" s="17" t="s">
        <v>785</v>
      </c>
      <c r="C653" s="216" t="s">
        <v>670</v>
      </c>
      <c r="D653" s="2" t="s">
        <v>671</v>
      </c>
      <c r="E653" s="2" t="s">
        <v>23</v>
      </c>
      <c r="F653" s="1">
        <v>1</v>
      </c>
      <c r="G653" s="1">
        <f>H670</f>
        <v>177.42</v>
      </c>
      <c r="H653" s="1">
        <f>TRUNC(F653*G653,2)</f>
        <v>177.42</v>
      </c>
    </row>
    <row r="654" spans="2:8" x14ac:dyDescent="0.25">
      <c r="C654" s="225" t="s">
        <v>98</v>
      </c>
      <c r="D654" s="91" t="s">
        <v>99</v>
      </c>
      <c r="E654" s="91" t="s">
        <v>29</v>
      </c>
      <c r="F654" s="92">
        <v>1.58</v>
      </c>
      <c r="G654" s="92">
        <f>TRUNC(4.24,2)</f>
        <v>4.24</v>
      </c>
      <c r="H654" s="92"/>
    </row>
    <row r="655" spans="2:8" x14ac:dyDescent="0.25">
      <c r="C655" s="225" t="s">
        <v>654</v>
      </c>
      <c r="D655" s="91" t="s">
        <v>655</v>
      </c>
      <c r="E655" s="91" t="s">
        <v>29</v>
      </c>
      <c r="F655" s="92">
        <v>0.85</v>
      </c>
      <c r="G655" s="92">
        <f>TRUNC(4.29,2)</f>
        <v>4.29</v>
      </c>
      <c r="H655" s="92"/>
    </row>
    <row r="656" spans="2:8" x14ac:dyDescent="0.25">
      <c r="C656" s="225" t="s">
        <v>656</v>
      </c>
      <c r="D656" s="91" t="s">
        <v>657</v>
      </c>
      <c r="E656" s="91" t="s">
        <v>29</v>
      </c>
      <c r="F656" s="92">
        <v>0.85</v>
      </c>
      <c r="G656" s="92">
        <f>TRUNC(3.86,2)</f>
        <v>3.86</v>
      </c>
      <c r="H656" s="92"/>
    </row>
    <row r="657" spans="1:8" x14ac:dyDescent="0.25">
      <c r="C657" s="178" t="s">
        <v>660</v>
      </c>
      <c r="D657" s="2" t="s">
        <v>661</v>
      </c>
      <c r="E657" s="2" t="s">
        <v>39</v>
      </c>
      <c r="F657" s="1">
        <v>2.7E-2</v>
      </c>
      <c r="G657" s="1">
        <f>TRUNC(43.25,2)</f>
        <v>43.25</v>
      </c>
      <c r="H657" s="1">
        <f>TRUNC(F657*G657,2)</f>
        <v>1.1599999999999999</v>
      </c>
    </row>
    <row r="658" spans="1:8" x14ac:dyDescent="0.25">
      <c r="C658" s="178" t="s">
        <v>658</v>
      </c>
      <c r="D658" s="2" t="s">
        <v>659</v>
      </c>
      <c r="E658" s="2" t="s">
        <v>23</v>
      </c>
      <c r="F658" s="1">
        <v>2.2000000000000002</v>
      </c>
      <c r="G658" s="1">
        <f>TRUNC(41.83,2)</f>
        <v>41.83</v>
      </c>
      <c r="H658" s="1">
        <f>TRUNC(F658*G658,2)</f>
        <v>92.02</v>
      </c>
    </row>
    <row r="659" spans="1:8" x14ac:dyDescent="0.25">
      <c r="C659" s="178" t="s">
        <v>37</v>
      </c>
      <c r="D659" s="2" t="s">
        <v>38</v>
      </c>
      <c r="E659" s="2" t="s">
        <v>39</v>
      </c>
      <c r="F659" s="1">
        <v>3.3000000000000002E-2</v>
      </c>
      <c r="G659" s="1">
        <f>TRUNC(56.75,2)</f>
        <v>56.75</v>
      </c>
      <c r="H659" s="1">
        <f>TRUNC(F659*G659,2)</f>
        <v>1.87</v>
      </c>
    </row>
    <row r="660" spans="1:8" x14ac:dyDescent="0.25">
      <c r="C660" s="225" t="s">
        <v>108</v>
      </c>
      <c r="D660" s="91" t="s">
        <v>109</v>
      </c>
      <c r="E660" s="91" t="s">
        <v>29</v>
      </c>
      <c r="F660" s="92">
        <v>3.5999999999999997E-2</v>
      </c>
      <c r="G660" s="92">
        <f>TRUNC(5.4325,2)</f>
        <v>5.43</v>
      </c>
      <c r="H660" s="92"/>
    </row>
    <row r="661" spans="1:8" x14ac:dyDescent="0.25">
      <c r="C661" s="178" t="s">
        <v>72</v>
      </c>
      <c r="D661" s="2" t="s">
        <v>73</v>
      </c>
      <c r="E661" s="2" t="s">
        <v>44</v>
      </c>
      <c r="F661" s="1">
        <v>0.61799999999999999</v>
      </c>
      <c r="G661" s="1">
        <f>TRUNC(17.3,2)</f>
        <v>17.3</v>
      </c>
      <c r="H661" s="1">
        <f>TRUNC(F661*G661,2)</f>
        <v>10.69</v>
      </c>
    </row>
    <row r="662" spans="1:8" x14ac:dyDescent="0.25">
      <c r="C662" s="178" t="s">
        <v>385</v>
      </c>
      <c r="D662" s="2" t="s">
        <v>386</v>
      </c>
      <c r="E662" s="2" t="s">
        <v>44</v>
      </c>
      <c r="F662" s="1">
        <v>0.43259999999999998</v>
      </c>
      <c r="G662" s="1">
        <f>TRUNC(17.3,2)</f>
        <v>17.3</v>
      </c>
      <c r="H662" s="1">
        <f>TRUNC(F662*G662,2)</f>
        <v>7.48</v>
      </c>
    </row>
    <row r="663" spans="1:8" x14ac:dyDescent="0.25">
      <c r="C663" s="178" t="s">
        <v>662</v>
      </c>
      <c r="D663" s="2" t="s">
        <v>663</v>
      </c>
      <c r="E663" s="2" t="s">
        <v>44</v>
      </c>
      <c r="F663" s="1">
        <v>2.06</v>
      </c>
      <c r="G663" s="1">
        <f>TRUNC(18.63,2)</f>
        <v>18.63</v>
      </c>
      <c r="H663" s="1">
        <f>TRUNC(F663*G663,2)</f>
        <v>38.369999999999997</v>
      </c>
    </row>
    <row r="664" spans="1:8" x14ac:dyDescent="0.25">
      <c r="C664" s="178" t="s">
        <v>68</v>
      </c>
      <c r="D664" s="2" t="s">
        <v>69</v>
      </c>
      <c r="E664" s="2" t="s">
        <v>44</v>
      </c>
      <c r="F664" s="1">
        <v>2.06</v>
      </c>
      <c r="G664" s="1">
        <f>TRUNC(12.54,2)</f>
        <v>12.54</v>
      </c>
      <c r="H664" s="1">
        <f>TRUNC(F664*G664,2)</f>
        <v>25.83</v>
      </c>
    </row>
    <row r="665" spans="1:8" x14ac:dyDescent="0.25">
      <c r="C665" s="225" t="s">
        <v>462</v>
      </c>
      <c r="D665" s="91" t="s">
        <v>463</v>
      </c>
      <c r="E665" s="91" t="s">
        <v>44</v>
      </c>
      <c r="F665" s="92">
        <v>0.37080000000000002</v>
      </c>
      <c r="G665" s="92">
        <f>TRUNC(17.3,2)</f>
        <v>17.3</v>
      </c>
      <c r="H665" s="92"/>
    </row>
    <row r="666" spans="1:8" x14ac:dyDescent="0.25">
      <c r="C666" s="225" t="s">
        <v>664</v>
      </c>
      <c r="D666" s="91" t="s">
        <v>665</v>
      </c>
      <c r="E666" s="91" t="s">
        <v>21</v>
      </c>
      <c r="F666" s="92">
        <v>0.8</v>
      </c>
      <c r="G666" s="92">
        <f>TRUNC(43.6762,2)</f>
        <v>43.67</v>
      </c>
      <c r="H666" s="92"/>
    </row>
    <row r="667" spans="1:8" x14ac:dyDescent="0.25">
      <c r="C667" s="225" t="s">
        <v>449</v>
      </c>
      <c r="D667" s="91" t="s">
        <v>450</v>
      </c>
      <c r="E667" s="91" t="s">
        <v>24</v>
      </c>
      <c r="F667" s="92">
        <v>0.04</v>
      </c>
      <c r="G667" s="92">
        <f>TRUNC(209.2239,2)</f>
        <v>209.22</v>
      </c>
      <c r="H667" s="92"/>
    </row>
    <row r="668" spans="1:8" x14ac:dyDescent="0.25">
      <c r="C668" s="225" t="s">
        <v>666</v>
      </c>
      <c r="D668" s="91" t="s">
        <v>667</v>
      </c>
      <c r="E668" s="91" t="s">
        <v>24</v>
      </c>
      <c r="F668" s="92">
        <v>0.04</v>
      </c>
      <c r="G668" s="92">
        <f>TRUNC(86.2965,2)</f>
        <v>86.29</v>
      </c>
      <c r="H668" s="92"/>
    </row>
    <row r="669" spans="1:8" x14ac:dyDescent="0.25">
      <c r="C669" s="225" t="s">
        <v>668</v>
      </c>
      <c r="D669" s="91" t="s">
        <v>669</v>
      </c>
      <c r="E669" s="91" t="s">
        <v>24</v>
      </c>
      <c r="F669" s="92">
        <v>0.04</v>
      </c>
      <c r="G669" s="92">
        <f>TRUNC(68.2857,2)</f>
        <v>68.28</v>
      </c>
      <c r="H669" s="92"/>
    </row>
    <row r="670" spans="1:8" x14ac:dyDescent="0.25">
      <c r="C670" s="178"/>
      <c r="F670" s="1" t="s">
        <v>45</v>
      </c>
      <c r="H670" s="1">
        <f>TRUNC(SUM(H654:H669),2)</f>
        <v>177.42</v>
      </c>
    </row>
    <row r="671" spans="1:8" x14ac:dyDescent="0.25">
      <c r="C671" s="178"/>
    </row>
    <row r="672" spans="1:8" s="8" customFormat="1" ht="15" customHeight="1" x14ac:dyDescent="0.25">
      <c r="A672" s="2"/>
      <c r="B672" s="180" t="s">
        <v>351</v>
      </c>
      <c r="C672" s="178"/>
      <c r="D672" s="154" t="s">
        <v>149</v>
      </c>
      <c r="E672" s="129"/>
      <c r="F672" s="130"/>
      <c r="G672" s="31"/>
      <c r="H672" s="31"/>
    </row>
    <row r="673" spans="1:8" x14ac:dyDescent="0.25">
      <c r="B673" s="17" t="s">
        <v>786</v>
      </c>
      <c r="C673" s="178" t="s">
        <v>569</v>
      </c>
      <c r="D673" s="2" t="s">
        <v>570</v>
      </c>
      <c r="E673" s="2" t="s">
        <v>24</v>
      </c>
      <c r="F673" s="1">
        <v>1</v>
      </c>
      <c r="G673" s="1">
        <f>TRUNC(154.87442,2)</f>
        <v>154.87</v>
      </c>
      <c r="H673" s="1">
        <f>TRUNC(F673*G673,2)</f>
        <v>154.87</v>
      </c>
    </row>
    <row r="674" spans="1:8" x14ac:dyDescent="0.25">
      <c r="C674" s="178" t="s">
        <v>151</v>
      </c>
      <c r="D674" s="2" t="s">
        <v>152</v>
      </c>
      <c r="E674" s="2" t="s">
        <v>24</v>
      </c>
      <c r="F674" s="1">
        <v>1.155</v>
      </c>
      <c r="G674" s="1">
        <f>TRUNC(110,2)</f>
        <v>110</v>
      </c>
      <c r="H674" s="1">
        <f>TRUNC(F674*G674,2)</f>
        <v>127.05</v>
      </c>
    </row>
    <row r="675" spans="1:8" x14ac:dyDescent="0.25">
      <c r="C675" s="178" t="s">
        <v>429</v>
      </c>
      <c r="D675" s="2" t="s">
        <v>430</v>
      </c>
      <c r="E675" s="2" t="s">
        <v>44</v>
      </c>
      <c r="F675" s="1">
        <v>2.6780000000000004</v>
      </c>
      <c r="G675" s="1">
        <f>TRUNC(10.39,2)</f>
        <v>10.39</v>
      </c>
      <c r="H675" s="1">
        <f>TRUNC(F675*G675,2)</f>
        <v>27.82</v>
      </c>
    </row>
    <row r="676" spans="1:8" x14ac:dyDescent="0.25">
      <c r="C676" s="178"/>
      <c r="F676" s="1" t="s">
        <v>45</v>
      </c>
      <c r="H676" s="1">
        <f>TRUNC(SUM(H674:H675),2)</f>
        <v>154.87</v>
      </c>
    </row>
    <row r="677" spans="1:8" ht="15.75" thickBot="1" x14ac:dyDescent="0.3"/>
    <row r="678" spans="1:8" s="8" customFormat="1" ht="15" customHeight="1" x14ac:dyDescent="0.25">
      <c r="A678" s="2"/>
      <c r="B678" s="180"/>
      <c r="C678" s="217"/>
      <c r="D678" s="157"/>
      <c r="E678" s="157"/>
      <c r="F678" s="158"/>
      <c r="G678" s="159"/>
      <c r="H678" s="160"/>
    </row>
    <row r="679" spans="1:8" s="8" customFormat="1" ht="15" customHeight="1" x14ac:dyDescent="0.25">
      <c r="A679" s="2"/>
      <c r="B679" s="180"/>
      <c r="C679" s="218" t="s">
        <v>572</v>
      </c>
      <c r="D679" s="129" t="s">
        <v>582</v>
      </c>
      <c r="E679" s="129" t="s">
        <v>27</v>
      </c>
      <c r="F679" s="130">
        <v>1</v>
      </c>
      <c r="G679" s="31">
        <f>TRUNC(2.95,2)</f>
        <v>2.95</v>
      </c>
      <c r="H679" s="161">
        <f>TRUNC(F679*G679,2)</f>
        <v>2.95</v>
      </c>
    </row>
    <row r="680" spans="1:8" s="8" customFormat="1" ht="15" customHeight="1" x14ac:dyDescent="0.25">
      <c r="A680" s="2"/>
      <c r="B680" s="180"/>
      <c r="C680" s="218" t="s">
        <v>150</v>
      </c>
      <c r="D680" s="129" t="s">
        <v>583</v>
      </c>
      <c r="E680" s="129" t="s">
        <v>27</v>
      </c>
      <c r="F680" s="130">
        <v>1</v>
      </c>
      <c r="G680" s="31">
        <f>TRUNC(2.95,2)</f>
        <v>2.95</v>
      </c>
      <c r="H680" s="161">
        <f>TRUNC(F680*G680,2)</f>
        <v>2.95</v>
      </c>
    </row>
    <row r="681" spans="1:8" s="8" customFormat="1" ht="15" customHeight="1" x14ac:dyDescent="0.25">
      <c r="A681" s="2"/>
      <c r="B681" s="180"/>
      <c r="C681" s="218"/>
      <c r="D681" s="129"/>
      <c r="E681" s="129"/>
      <c r="F681" s="130" t="s">
        <v>45</v>
      </c>
      <c r="G681" s="31"/>
      <c r="H681" s="161">
        <f>TRUNC(SUM(H680:H680),2)</f>
        <v>2.95</v>
      </c>
    </row>
    <row r="682" spans="1:8" s="8" customFormat="1" ht="15" customHeight="1" x14ac:dyDescent="0.25">
      <c r="A682" s="2"/>
      <c r="B682" s="180"/>
      <c r="C682" s="218" t="s">
        <v>573</v>
      </c>
      <c r="D682" s="129" t="s">
        <v>575</v>
      </c>
      <c r="E682" s="129" t="s">
        <v>27</v>
      </c>
      <c r="F682" s="130">
        <v>1</v>
      </c>
      <c r="G682" s="31">
        <f>H688</f>
        <v>26.03</v>
      </c>
      <c r="H682" s="161">
        <f>TRUNC(F682*G682,2)</f>
        <v>26.03</v>
      </c>
    </row>
    <row r="683" spans="1:8" s="8" customFormat="1" ht="15" customHeight="1" x14ac:dyDescent="0.25">
      <c r="A683" s="2"/>
      <c r="B683" s="180"/>
      <c r="C683" s="220" t="s">
        <v>151</v>
      </c>
      <c r="D683" s="163" t="s">
        <v>152</v>
      </c>
      <c r="E683" s="163" t="s">
        <v>24</v>
      </c>
      <c r="F683" s="164">
        <v>0.1</v>
      </c>
      <c r="G683" s="165">
        <f>TRUNC(110,2)</f>
        <v>110</v>
      </c>
      <c r="H683" s="166"/>
    </row>
    <row r="684" spans="1:8" s="8" customFormat="1" ht="15" customHeight="1" x14ac:dyDescent="0.25">
      <c r="A684" s="2"/>
      <c r="B684" s="180"/>
      <c r="C684" s="218" t="s">
        <v>429</v>
      </c>
      <c r="D684" s="129" t="s">
        <v>430</v>
      </c>
      <c r="E684" s="129" t="s">
        <v>44</v>
      </c>
      <c r="F684" s="130">
        <v>2.06</v>
      </c>
      <c r="G684" s="31">
        <f>TRUNC(10.39,2)</f>
        <v>10.39</v>
      </c>
      <c r="H684" s="161">
        <f>TRUNC(F684*G684,2)</f>
        <v>21.4</v>
      </c>
    </row>
    <row r="685" spans="1:8" s="8" customFormat="1" ht="15" customHeight="1" x14ac:dyDescent="0.25">
      <c r="A685" s="2"/>
      <c r="B685" s="180"/>
      <c r="C685" s="218" t="s">
        <v>576</v>
      </c>
      <c r="D685" s="129" t="s">
        <v>577</v>
      </c>
      <c r="E685" s="129" t="s">
        <v>27</v>
      </c>
      <c r="F685" s="130">
        <v>1</v>
      </c>
      <c r="G685" s="31">
        <f>TRUNC(0.6888,2)</f>
        <v>0.68</v>
      </c>
      <c r="H685" s="161">
        <f>TRUNC(F685*G685,2)</f>
        <v>0.68</v>
      </c>
    </row>
    <row r="686" spans="1:8" s="8" customFormat="1" ht="15" customHeight="1" x14ac:dyDescent="0.25">
      <c r="A686" s="2"/>
      <c r="B686" s="180"/>
      <c r="C686" s="218" t="s">
        <v>578</v>
      </c>
      <c r="D686" s="129" t="s">
        <v>579</v>
      </c>
      <c r="E686" s="129" t="s">
        <v>44</v>
      </c>
      <c r="F686" s="130">
        <v>1.9199999999999998E-2</v>
      </c>
      <c r="G686" s="31">
        <f>TRUNC(36.7557,2)</f>
        <v>36.75</v>
      </c>
      <c r="H686" s="161">
        <f>TRUNC(F686*G686,2)</f>
        <v>0.7</v>
      </c>
    </row>
    <row r="687" spans="1:8" s="8" customFormat="1" ht="15" customHeight="1" x14ac:dyDescent="0.25">
      <c r="A687" s="2"/>
      <c r="B687" s="180"/>
      <c r="C687" s="218" t="s">
        <v>580</v>
      </c>
      <c r="D687" s="129" t="s">
        <v>581</v>
      </c>
      <c r="E687" s="129" t="s">
        <v>44</v>
      </c>
      <c r="F687" s="130">
        <v>2.87E-2</v>
      </c>
      <c r="G687" s="31">
        <f>TRUNC(113.3781,2)</f>
        <v>113.37</v>
      </c>
      <c r="H687" s="161">
        <f>TRUNC(F687*G687,2)</f>
        <v>3.25</v>
      </c>
    </row>
    <row r="688" spans="1:8" s="8" customFormat="1" ht="15" customHeight="1" x14ac:dyDescent="0.25">
      <c r="A688" s="2"/>
      <c r="B688" s="180"/>
      <c r="C688" s="218"/>
      <c r="D688" s="129"/>
      <c r="E688" s="129"/>
      <c r="F688" s="130" t="s">
        <v>45</v>
      </c>
      <c r="G688" s="31"/>
      <c r="H688" s="161">
        <f>TRUNC(SUM(H683:H687),2)</f>
        <v>26.03</v>
      </c>
    </row>
    <row r="689" spans="1:12" s="8" customFormat="1" ht="15" customHeight="1" x14ac:dyDescent="0.25">
      <c r="A689" s="2"/>
      <c r="B689" s="180"/>
      <c r="C689" s="218"/>
      <c r="D689" s="129"/>
      <c r="E689" s="129"/>
      <c r="F689" s="130"/>
      <c r="G689" s="31"/>
      <c r="H689" s="161"/>
    </row>
    <row r="690" spans="1:12" s="8" customFormat="1" ht="48" customHeight="1" x14ac:dyDescent="0.25">
      <c r="A690" s="1"/>
      <c r="B690" s="180" t="s">
        <v>787</v>
      </c>
      <c r="C690" s="219" t="s">
        <v>574</v>
      </c>
      <c r="D690" s="155" t="s">
        <v>155</v>
      </c>
      <c r="E690" s="178" t="s">
        <v>27</v>
      </c>
      <c r="F690" s="130" t="s">
        <v>45</v>
      </c>
      <c r="G690" s="31"/>
      <c r="H690" s="161">
        <f>H681+H688</f>
        <v>28.98</v>
      </c>
    </row>
    <row r="691" spans="1:12" s="8" customFormat="1" ht="15" customHeight="1" thickBot="1" x14ac:dyDescent="0.3">
      <c r="A691" s="2"/>
      <c r="B691" s="180"/>
      <c r="C691" s="222"/>
      <c r="D691" s="168"/>
      <c r="E691" s="168"/>
      <c r="F691" s="169"/>
      <c r="G691" s="170"/>
      <c r="H691" s="171"/>
    </row>
    <row r="693" spans="1:12" ht="30" x14ac:dyDescent="0.25">
      <c r="B693" s="17" t="s">
        <v>788</v>
      </c>
      <c r="C693" s="208" t="s">
        <v>585</v>
      </c>
      <c r="D693" s="2" t="s">
        <v>237</v>
      </c>
      <c r="E693" s="2" t="s">
        <v>27</v>
      </c>
      <c r="F693" s="1">
        <v>1</v>
      </c>
      <c r="G693" s="1">
        <f>H698</f>
        <v>45.46</v>
      </c>
      <c r="H693" s="1">
        <f>TRUNC(F693*G693,2)</f>
        <v>45.46</v>
      </c>
    </row>
    <row r="694" spans="1:12" x14ac:dyDescent="0.25">
      <c r="C694" s="207" t="s">
        <v>584</v>
      </c>
      <c r="D694" s="91" t="s">
        <v>235</v>
      </c>
      <c r="E694" s="91" t="s">
        <v>27</v>
      </c>
      <c r="F694" s="92">
        <v>1</v>
      </c>
      <c r="G694" s="92">
        <f>TRUNC(38.87,2)</f>
        <v>38.869999999999997</v>
      </c>
      <c r="H694" s="92"/>
    </row>
    <row r="695" spans="1:12" s="8" customFormat="1" ht="15" customHeight="1" x14ac:dyDescent="0.25">
      <c r="A695" s="2"/>
      <c r="B695" s="180"/>
      <c r="C695" s="178" t="s">
        <v>58</v>
      </c>
      <c r="D695" s="129" t="s">
        <v>236</v>
      </c>
      <c r="E695" s="129" t="s">
        <v>27</v>
      </c>
      <c r="F695" s="130">
        <v>1</v>
      </c>
      <c r="G695" s="31">
        <v>20</v>
      </c>
      <c r="H695" s="31">
        <f>TRUNC(F695*G695,2)</f>
        <v>20</v>
      </c>
    </row>
    <row r="696" spans="1:12" x14ac:dyDescent="0.25">
      <c r="C696" s="184" t="s">
        <v>571</v>
      </c>
      <c r="D696" s="2" t="s">
        <v>154</v>
      </c>
      <c r="E696" s="2" t="s">
        <v>44</v>
      </c>
      <c r="F696" s="1">
        <v>0.26</v>
      </c>
      <c r="G696" s="1">
        <f>TRUNC(22.81,2)</f>
        <v>22.81</v>
      </c>
      <c r="H696" s="1">
        <f>TRUNC(F696*G696,2)</f>
        <v>5.93</v>
      </c>
    </row>
    <row r="697" spans="1:12" x14ac:dyDescent="0.25">
      <c r="C697" s="184" t="s">
        <v>74</v>
      </c>
      <c r="D697" s="2" t="s">
        <v>46</v>
      </c>
      <c r="E697" s="2" t="s">
        <v>44</v>
      </c>
      <c r="F697" s="1">
        <v>1.0401</v>
      </c>
      <c r="G697" s="1">
        <f>TRUNC(18.78,2)</f>
        <v>18.78</v>
      </c>
      <c r="H697" s="1">
        <f>TRUNC(F697*G697,2)</f>
        <v>19.53</v>
      </c>
    </row>
    <row r="698" spans="1:12" x14ac:dyDescent="0.25">
      <c r="F698" s="1" t="s">
        <v>45</v>
      </c>
      <c r="H698" s="1">
        <f>TRUNC(SUM(H694:H697),2)</f>
        <v>45.46</v>
      </c>
    </row>
    <row r="700" spans="1:12" s="8" customFormat="1" ht="15" customHeight="1" x14ac:dyDescent="0.25">
      <c r="A700" s="21"/>
      <c r="B700" s="180" t="s">
        <v>352</v>
      </c>
      <c r="C700" s="178"/>
      <c r="D700" s="154" t="s">
        <v>277</v>
      </c>
      <c r="E700" s="178"/>
      <c r="F700" s="179"/>
      <c r="G700" s="179"/>
      <c r="H700" s="179"/>
      <c r="I700" s="49"/>
      <c r="J700" s="41"/>
      <c r="K700" s="41"/>
      <c r="L700" s="49"/>
    </row>
    <row r="701" spans="1:12" s="21" customFormat="1" x14ac:dyDescent="0.25">
      <c r="B701" s="25" t="s">
        <v>789</v>
      </c>
      <c r="C701" s="150" t="s">
        <v>549</v>
      </c>
      <c r="D701" s="21" t="s">
        <v>66</v>
      </c>
      <c r="E701" s="21" t="s">
        <v>21</v>
      </c>
      <c r="F701" s="8">
        <v>1</v>
      </c>
      <c r="G701" s="8">
        <f>H705</f>
        <v>3.16</v>
      </c>
      <c r="H701" s="8">
        <f>TRUNC(F701*G701,2)</f>
        <v>3.16</v>
      </c>
    </row>
    <row r="702" spans="1:12" s="21" customFormat="1" x14ac:dyDescent="0.25">
      <c r="B702" s="25"/>
      <c r="C702" s="150" t="s">
        <v>74</v>
      </c>
      <c r="D702" s="21" t="s">
        <v>46</v>
      </c>
      <c r="E702" s="21" t="s">
        <v>44</v>
      </c>
      <c r="F702" s="8">
        <v>7.0000000000000001E-3</v>
      </c>
      <c r="G702" s="8">
        <f>TRUNC(18.78,2)</f>
        <v>18.78</v>
      </c>
      <c r="H702" s="8">
        <f>TRUNC(F702*G702,2)</f>
        <v>0.13</v>
      </c>
    </row>
    <row r="703" spans="1:12" s="21" customFormat="1" x14ac:dyDescent="0.25">
      <c r="B703" s="25"/>
      <c r="C703" s="150" t="s">
        <v>476</v>
      </c>
      <c r="D703" s="21" t="s">
        <v>54</v>
      </c>
      <c r="E703" s="21" t="s">
        <v>44</v>
      </c>
      <c r="F703" s="8">
        <v>7.0000000000000007E-2</v>
      </c>
      <c r="G703" s="8">
        <f>TRUNC(23.61,2)</f>
        <v>23.61</v>
      </c>
      <c r="H703" s="8">
        <f>TRUNC(F703*G703,2)</f>
        <v>1.65</v>
      </c>
    </row>
    <row r="704" spans="1:12" s="21" customFormat="1" x14ac:dyDescent="0.25">
      <c r="B704" s="25"/>
      <c r="C704" s="150" t="s">
        <v>550</v>
      </c>
      <c r="D704" s="21" t="s">
        <v>551</v>
      </c>
      <c r="E704" s="21" t="s">
        <v>24</v>
      </c>
      <c r="F704" s="8">
        <v>4.1999999999999997E-3</v>
      </c>
      <c r="G704" s="8">
        <f>TRUNC(330.75,2)</f>
        <v>330.75</v>
      </c>
      <c r="H704" s="8">
        <f>TRUNC(F704*G704,2)</f>
        <v>1.38</v>
      </c>
    </row>
    <row r="705" spans="1:8" s="21" customFormat="1" x14ac:dyDescent="0.25">
      <c r="B705" s="25"/>
      <c r="C705" s="150"/>
      <c r="F705" s="8" t="s">
        <v>45</v>
      </c>
      <c r="G705" s="8"/>
      <c r="H705" s="8">
        <f>TRUNC(SUM(H702:H704),2)</f>
        <v>3.16</v>
      </c>
    </row>
    <row r="706" spans="1:8" s="21" customFormat="1" x14ac:dyDescent="0.25">
      <c r="B706" s="25" t="s">
        <v>790</v>
      </c>
      <c r="C706" s="150" t="s">
        <v>552</v>
      </c>
      <c r="D706" s="21" t="s">
        <v>67</v>
      </c>
      <c r="E706" s="21" t="s">
        <v>21</v>
      </c>
      <c r="F706" s="8">
        <v>1</v>
      </c>
      <c r="G706" s="8">
        <f>H710</f>
        <v>28.04</v>
      </c>
      <c r="H706" s="8">
        <f>TRUNC(F706*G706,2)</f>
        <v>28.04</v>
      </c>
    </row>
    <row r="707" spans="1:8" s="21" customFormat="1" x14ac:dyDescent="0.25">
      <c r="B707" s="25"/>
      <c r="C707" s="150" t="s">
        <v>74</v>
      </c>
      <c r="D707" s="21" t="s">
        <v>46</v>
      </c>
      <c r="E707" s="21" t="s">
        <v>44</v>
      </c>
      <c r="F707" s="8">
        <v>0.17100000000000001</v>
      </c>
      <c r="G707" s="8">
        <f>TRUNC(18.78,2)</f>
        <v>18.78</v>
      </c>
      <c r="H707" s="8">
        <f>TRUNC(F707*G707,2)</f>
        <v>3.21</v>
      </c>
    </row>
    <row r="708" spans="1:8" s="21" customFormat="1" x14ac:dyDescent="0.25">
      <c r="B708" s="25"/>
      <c r="C708" s="150" t="s">
        <v>476</v>
      </c>
      <c r="D708" s="21" t="s">
        <v>54</v>
      </c>
      <c r="E708" s="21" t="s">
        <v>44</v>
      </c>
      <c r="F708" s="8">
        <v>0.47</v>
      </c>
      <c r="G708" s="8">
        <f>TRUNC(23.61,2)</f>
        <v>23.61</v>
      </c>
      <c r="H708" s="8">
        <f>TRUNC(F708*G708,2)</f>
        <v>11.09</v>
      </c>
    </row>
    <row r="709" spans="1:8" s="21" customFormat="1" x14ac:dyDescent="0.25">
      <c r="B709" s="25"/>
      <c r="C709" s="150" t="s">
        <v>477</v>
      </c>
      <c r="D709" s="21" t="s">
        <v>478</v>
      </c>
      <c r="E709" s="21" t="s">
        <v>24</v>
      </c>
      <c r="F709" s="8">
        <v>3.7600000000000001E-2</v>
      </c>
      <c r="G709" s="8">
        <f>TRUNC(365.49,2)</f>
        <v>365.49</v>
      </c>
      <c r="H709" s="8">
        <f>TRUNC(F709*G709,2)</f>
        <v>13.74</v>
      </c>
    </row>
    <row r="710" spans="1:8" s="21" customFormat="1" x14ac:dyDescent="0.25">
      <c r="B710" s="25"/>
      <c r="C710" s="150"/>
      <c r="F710" s="8" t="s">
        <v>45</v>
      </c>
      <c r="G710" s="8"/>
      <c r="H710" s="8">
        <f>TRUNC(SUM(H707:H709),2)</f>
        <v>28.04</v>
      </c>
    </row>
    <row r="711" spans="1:8" s="21" customFormat="1" x14ac:dyDescent="0.25">
      <c r="B711" s="25"/>
      <c r="C711" s="150"/>
      <c r="F711" s="8"/>
      <c r="G711" s="8"/>
      <c r="H711" s="8"/>
    </row>
    <row r="712" spans="1:8" s="8" customFormat="1" ht="15" customHeight="1" x14ac:dyDescent="0.25">
      <c r="A712" s="2"/>
      <c r="B712" s="180" t="s">
        <v>353</v>
      </c>
      <c r="C712" s="178"/>
      <c r="D712" s="154" t="s">
        <v>31</v>
      </c>
      <c r="E712" s="129"/>
      <c r="F712" s="130"/>
      <c r="G712" s="31"/>
      <c r="H712" s="31"/>
    </row>
    <row r="713" spans="1:8" s="8" customFormat="1" ht="15" customHeight="1" x14ac:dyDescent="0.25">
      <c r="A713" s="2"/>
      <c r="B713" s="180" t="s">
        <v>791</v>
      </c>
      <c r="C713" s="178" t="s">
        <v>619</v>
      </c>
      <c r="D713" s="129" t="s">
        <v>620</v>
      </c>
      <c r="E713" s="129" t="s">
        <v>21</v>
      </c>
      <c r="F713" s="130">
        <v>1</v>
      </c>
      <c r="G713" s="31">
        <f>H718</f>
        <v>33.89</v>
      </c>
      <c r="H713" s="31">
        <f>TRUNC(F713*G713,2)</f>
        <v>33.89</v>
      </c>
    </row>
    <row r="714" spans="1:8" s="8" customFormat="1" ht="15" customHeight="1" x14ac:dyDescent="0.25">
      <c r="A714" s="2"/>
      <c r="B714" s="180"/>
      <c r="C714" s="178" t="s">
        <v>615</v>
      </c>
      <c r="D714" s="129" t="s">
        <v>616</v>
      </c>
      <c r="E714" s="129" t="s">
        <v>29</v>
      </c>
      <c r="F714" s="130">
        <v>0.27</v>
      </c>
      <c r="G714" s="31">
        <f>TRUNC(94.1619,2)</f>
        <v>94.16</v>
      </c>
      <c r="H714" s="31">
        <f>TRUNC(F714*G714,2)</f>
        <v>25.42</v>
      </c>
    </row>
    <row r="715" spans="1:8" s="8" customFormat="1" ht="15" customHeight="1" x14ac:dyDescent="0.25">
      <c r="A715" s="2"/>
      <c r="B715" s="180"/>
      <c r="C715" s="178" t="s">
        <v>617</v>
      </c>
      <c r="D715" s="129" t="s">
        <v>618</v>
      </c>
      <c r="E715" s="129" t="s">
        <v>27</v>
      </c>
      <c r="F715" s="130">
        <v>0.5</v>
      </c>
      <c r="G715" s="31">
        <f>TRUNC(0.46,2)</f>
        <v>0.46</v>
      </c>
      <c r="H715" s="31">
        <f>TRUNC(F715*G715,2)</f>
        <v>0.23</v>
      </c>
    </row>
    <row r="716" spans="1:8" s="8" customFormat="1" ht="15" customHeight="1" x14ac:dyDescent="0.25">
      <c r="A716" s="2"/>
      <c r="B716" s="180"/>
      <c r="C716" s="178" t="s">
        <v>68</v>
      </c>
      <c r="D716" s="129" t="s">
        <v>69</v>
      </c>
      <c r="E716" s="129" t="s">
        <v>44</v>
      </c>
      <c r="F716" s="130">
        <v>0.17510000000000001</v>
      </c>
      <c r="G716" s="31">
        <f>TRUNC(12.54,2)</f>
        <v>12.54</v>
      </c>
      <c r="H716" s="31">
        <f>TRUNC(F716*G716,2)</f>
        <v>2.19</v>
      </c>
    </row>
    <row r="717" spans="1:8" s="8" customFormat="1" ht="15" customHeight="1" x14ac:dyDescent="0.25">
      <c r="A717" s="2"/>
      <c r="B717" s="180"/>
      <c r="C717" s="178" t="s">
        <v>385</v>
      </c>
      <c r="D717" s="129" t="s">
        <v>386</v>
      </c>
      <c r="E717" s="129" t="s">
        <v>44</v>
      </c>
      <c r="F717" s="130">
        <v>0.35020000000000001</v>
      </c>
      <c r="G717" s="31">
        <f>TRUNC(17.3,2)</f>
        <v>17.3</v>
      </c>
      <c r="H717" s="31">
        <f>TRUNC(F717*G717,2)</f>
        <v>6.05</v>
      </c>
    </row>
    <row r="718" spans="1:8" s="8" customFormat="1" ht="15" customHeight="1" x14ac:dyDescent="0.25">
      <c r="A718" s="2"/>
      <c r="B718" s="180"/>
      <c r="C718" s="178"/>
      <c r="D718" s="129"/>
      <c r="E718" s="129"/>
      <c r="F718" s="130" t="s">
        <v>45</v>
      </c>
      <c r="G718" s="31"/>
      <c r="H718" s="31">
        <f>TRUNC(SUM(H714:H717),2)</f>
        <v>33.89</v>
      </c>
    </row>
    <row r="719" spans="1:8" s="21" customFormat="1" x14ac:dyDescent="0.25">
      <c r="B719" s="25" t="s">
        <v>792</v>
      </c>
      <c r="C719" s="23" t="s">
        <v>710</v>
      </c>
      <c r="D719" s="21" t="s">
        <v>708</v>
      </c>
      <c r="E719" s="21" t="s">
        <v>21</v>
      </c>
      <c r="F719" s="8">
        <v>1</v>
      </c>
      <c r="G719" s="8">
        <f>H723</f>
        <v>6.75</v>
      </c>
      <c r="H719" s="8">
        <f>TRUNC(F719*G719,2)</f>
        <v>6.75</v>
      </c>
    </row>
    <row r="720" spans="1:8" s="21" customFormat="1" x14ac:dyDescent="0.25">
      <c r="B720" s="25"/>
      <c r="C720" s="23" t="s">
        <v>711</v>
      </c>
      <c r="D720" s="21" t="s">
        <v>709</v>
      </c>
      <c r="E720" s="21" t="s">
        <v>27</v>
      </c>
      <c r="F720" s="8">
        <v>4.1399999999999999E-2</v>
      </c>
      <c r="G720" s="8">
        <f>TRUNC(0.65,2)</f>
        <v>0.65</v>
      </c>
      <c r="H720" s="8">
        <f>TRUNC(F720*G720,2)</f>
        <v>0.02</v>
      </c>
    </row>
    <row r="721" spans="1:12" s="21" customFormat="1" x14ac:dyDescent="0.25">
      <c r="B721" s="25"/>
      <c r="C721" s="23" t="s">
        <v>74</v>
      </c>
      <c r="D721" s="21" t="s">
        <v>46</v>
      </c>
      <c r="E721" s="21" t="s">
        <v>44</v>
      </c>
      <c r="F721" s="8">
        <v>0.159</v>
      </c>
      <c r="G721" s="8">
        <f>TRUNC(18.78,2)</f>
        <v>18.78</v>
      </c>
      <c r="H721" s="8">
        <f>TRUNC(F721*G721,2)</f>
        <v>2.98</v>
      </c>
    </row>
    <row r="722" spans="1:12" s="21" customFormat="1" x14ac:dyDescent="0.25">
      <c r="B722" s="25"/>
      <c r="C722" s="23" t="s">
        <v>476</v>
      </c>
      <c r="D722" s="21" t="s">
        <v>54</v>
      </c>
      <c r="E722" s="21" t="s">
        <v>44</v>
      </c>
      <c r="F722" s="8">
        <v>0.159</v>
      </c>
      <c r="G722" s="8">
        <f>TRUNC(23.61,2)</f>
        <v>23.61</v>
      </c>
      <c r="H722" s="8">
        <f>TRUNC(F722*G722,2)</f>
        <v>3.75</v>
      </c>
    </row>
    <row r="723" spans="1:12" s="21" customFormat="1" x14ac:dyDescent="0.25">
      <c r="B723" s="25"/>
      <c r="C723" s="23"/>
      <c r="F723" s="8" t="s">
        <v>45</v>
      </c>
      <c r="G723" s="8"/>
      <c r="H723" s="8">
        <f>TRUNC(SUM(H720:H722),2)</f>
        <v>6.75</v>
      </c>
    </row>
    <row r="724" spans="1:12" s="21" customFormat="1" x14ac:dyDescent="0.25">
      <c r="B724" s="25"/>
      <c r="C724" s="150"/>
      <c r="F724" s="8"/>
      <c r="G724" s="8"/>
      <c r="H724" s="8"/>
    </row>
    <row r="725" spans="1:12" s="8" customFormat="1" ht="15" customHeight="1" x14ac:dyDescent="0.25">
      <c r="A725" s="21"/>
      <c r="B725" s="180" t="s">
        <v>674</v>
      </c>
      <c r="C725" s="178"/>
      <c r="D725" s="154" t="s">
        <v>32</v>
      </c>
      <c r="E725" s="178"/>
      <c r="F725" s="179"/>
      <c r="G725" s="179"/>
      <c r="H725" s="179"/>
      <c r="I725" s="49"/>
      <c r="J725" s="41"/>
      <c r="K725" s="41"/>
      <c r="L725" s="49"/>
    </row>
    <row r="726" spans="1:12" s="21" customFormat="1" x14ac:dyDescent="0.25">
      <c r="B726" s="25" t="s">
        <v>793</v>
      </c>
      <c r="C726" s="178" t="s">
        <v>586</v>
      </c>
      <c r="D726" s="21" t="s">
        <v>25</v>
      </c>
      <c r="E726" s="21" t="s">
        <v>24</v>
      </c>
      <c r="F726" s="8">
        <v>1</v>
      </c>
      <c r="G726" s="8">
        <f>TRUNC(21.586,2)</f>
        <v>21.58</v>
      </c>
      <c r="H726" s="8">
        <f>TRUNC(F726*G726,2)</f>
        <v>21.58</v>
      </c>
    </row>
    <row r="727" spans="1:12" s="21" customFormat="1" x14ac:dyDescent="0.25">
      <c r="B727" s="25"/>
      <c r="C727" s="178" t="s">
        <v>74</v>
      </c>
      <c r="D727" s="21" t="s">
        <v>46</v>
      </c>
      <c r="E727" s="21" t="s">
        <v>44</v>
      </c>
      <c r="F727" s="8">
        <v>0.7</v>
      </c>
      <c r="G727" s="8">
        <f>TRUNC(18.78,2)</f>
        <v>18.78</v>
      </c>
      <c r="H727" s="8">
        <f>TRUNC(F727*G727,2)</f>
        <v>13.14</v>
      </c>
    </row>
    <row r="728" spans="1:12" s="21" customFormat="1" x14ac:dyDescent="0.25">
      <c r="B728" s="25"/>
      <c r="C728" s="178" t="s">
        <v>587</v>
      </c>
      <c r="D728" s="21" t="s">
        <v>588</v>
      </c>
      <c r="E728" s="21" t="s">
        <v>47</v>
      </c>
      <c r="F728" s="8">
        <v>0.25</v>
      </c>
      <c r="G728" s="8">
        <f>TRUNC(33.76,2)</f>
        <v>33.76</v>
      </c>
      <c r="H728" s="8">
        <f>TRUNC(F728*G728,2)</f>
        <v>8.44</v>
      </c>
    </row>
    <row r="729" spans="1:12" s="21" customFormat="1" x14ac:dyDescent="0.25">
      <c r="B729" s="25"/>
      <c r="C729" s="178"/>
      <c r="F729" s="8" t="s">
        <v>45</v>
      </c>
      <c r="G729" s="8"/>
      <c r="H729" s="8">
        <f>TRUNC(SUM(H727:H728),2)</f>
        <v>21.58</v>
      </c>
    </row>
    <row r="730" spans="1:12" s="21" customFormat="1" x14ac:dyDescent="0.25">
      <c r="B730" s="25" t="s">
        <v>794</v>
      </c>
      <c r="C730" s="178" t="s">
        <v>408</v>
      </c>
      <c r="D730" s="21" t="s">
        <v>226</v>
      </c>
      <c r="E730" s="21" t="s">
        <v>26</v>
      </c>
      <c r="F730" s="8">
        <v>1</v>
      </c>
      <c r="G730" s="8">
        <f>H733</f>
        <v>1.5</v>
      </c>
      <c r="H730" s="8">
        <f>TRUNC(F730*G730,2)</f>
        <v>1.5</v>
      </c>
    </row>
    <row r="731" spans="1:12" s="21" customFormat="1" x14ac:dyDescent="0.25">
      <c r="B731" s="25"/>
      <c r="C731" s="178" t="s">
        <v>417</v>
      </c>
      <c r="D731" s="21" t="s">
        <v>418</v>
      </c>
      <c r="E731" s="21" t="s">
        <v>47</v>
      </c>
      <c r="F731" s="8">
        <v>2.5999999999999999E-3</v>
      </c>
      <c r="G731" s="8">
        <f>TRUNC(33.15,2)</f>
        <v>33.15</v>
      </c>
      <c r="H731" s="8">
        <f>TRUNC(F731*G731,2)</f>
        <v>0.08</v>
      </c>
    </row>
    <row r="732" spans="1:12" s="21" customFormat="1" x14ac:dyDescent="0.25">
      <c r="B732" s="25"/>
      <c r="C732" s="178" t="s">
        <v>419</v>
      </c>
      <c r="D732" s="21" t="s">
        <v>420</v>
      </c>
      <c r="E732" s="21" t="s">
        <v>48</v>
      </c>
      <c r="F732" s="8">
        <v>1.042E-2</v>
      </c>
      <c r="G732" s="8">
        <f>TRUNC(137.21,2)</f>
        <v>137.21</v>
      </c>
      <c r="H732" s="8">
        <f>TRUNC(F732*G732,2)</f>
        <v>1.42</v>
      </c>
    </row>
    <row r="733" spans="1:12" s="21" customFormat="1" x14ac:dyDescent="0.25">
      <c r="B733" s="25"/>
      <c r="C733" s="178"/>
      <c r="F733" s="8" t="s">
        <v>45</v>
      </c>
      <c r="G733" s="8"/>
      <c r="H733" s="8">
        <f>TRUNC(SUM(H731:H732),2)</f>
        <v>1.5</v>
      </c>
    </row>
    <row r="734" spans="1:12" s="21" customFormat="1" x14ac:dyDescent="0.25">
      <c r="B734" s="25" t="s">
        <v>795</v>
      </c>
      <c r="C734" s="204" t="s">
        <v>409</v>
      </c>
      <c r="D734" s="21" t="s">
        <v>115</v>
      </c>
      <c r="E734" s="21" t="s">
        <v>24</v>
      </c>
      <c r="F734" s="8">
        <v>1</v>
      </c>
      <c r="G734" s="8">
        <f>H738</f>
        <v>1.63</v>
      </c>
      <c r="H734" s="8">
        <f>TRUNC(F734*G734,2)</f>
        <v>1.63</v>
      </c>
    </row>
    <row r="735" spans="1:12" s="21" customFormat="1" x14ac:dyDescent="0.25">
      <c r="B735" s="25"/>
      <c r="C735" s="204" t="s">
        <v>74</v>
      </c>
      <c r="D735" s="21" t="s">
        <v>46</v>
      </c>
      <c r="E735" s="21" t="s">
        <v>44</v>
      </c>
      <c r="F735" s="8">
        <v>1.1299999999999999E-2</v>
      </c>
      <c r="G735" s="8">
        <f>TRUNC(18.78,2)</f>
        <v>18.78</v>
      </c>
      <c r="H735" s="8">
        <f>TRUNC(F735*G735,2)</f>
        <v>0.21</v>
      </c>
    </row>
    <row r="736" spans="1:12" s="21" customFormat="1" x14ac:dyDescent="0.25">
      <c r="B736" s="25"/>
      <c r="C736" s="204" t="s">
        <v>421</v>
      </c>
      <c r="D736" s="21" t="s">
        <v>422</v>
      </c>
      <c r="E736" s="21" t="s">
        <v>47</v>
      </c>
      <c r="F736" s="8">
        <v>3.3999999999999998E-3</v>
      </c>
      <c r="G736" s="8">
        <f>TRUNC(52.52,2)</f>
        <v>52.52</v>
      </c>
      <c r="H736" s="8">
        <f>TRUNC(F736*G736,2)</f>
        <v>0.17</v>
      </c>
    </row>
    <row r="737" spans="2:8" s="21" customFormat="1" x14ac:dyDescent="0.25">
      <c r="B737" s="25"/>
      <c r="C737" s="204" t="s">
        <v>423</v>
      </c>
      <c r="D737" s="21" t="s">
        <v>424</v>
      </c>
      <c r="E737" s="21" t="s">
        <v>48</v>
      </c>
      <c r="F737" s="8">
        <v>7.9000000000000008E-3</v>
      </c>
      <c r="G737" s="8">
        <f>TRUNC(158.63,2)</f>
        <v>158.63</v>
      </c>
      <c r="H737" s="8">
        <f>TRUNC(F737*G737,2)</f>
        <v>1.25</v>
      </c>
    </row>
    <row r="738" spans="2:8" s="21" customFormat="1" x14ac:dyDescent="0.25">
      <c r="B738" s="25"/>
      <c r="C738" s="204"/>
      <c r="F738" s="8" t="s">
        <v>45</v>
      </c>
      <c r="G738" s="8"/>
      <c r="H738" s="8">
        <f>TRUNC(SUM(H735:H737),2)</f>
        <v>1.63</v>
      </c>
    </row>
    <row r="739" spans="2:8" s="21" customFormat="1" x14ac:dyDescent="0.25">
      <c r="B739" s="25"/>
      <c r="C739" s="150"/>
      <c r="F739" s="8"/>
      <c r="G739" s="8"/>
      <c r="H739" s="8"/>
    </row>
  </sheetData>
  <mergeCells count="6">
    <mergeCell ref="D5:H5"/>
    <mergeCell ref="D6:H6"/>
    <mergeCell ref="D7:H7"/>
    <mergeCell ref="D8:H8"/>
    <mergeCell ref="B10:H10"/>
    <mergeCell ref="D9:H9"/>
  </mergeCells>
  <pageMargins left="0.51181102362204722" right="0.51181102362204722" top="0.78740157480314965" bottom="0.78740157480314965" header="0.31496062992125984" footer="0.31496062992125984"/>
  <pageSetup scale="70" orientation="portrait" r:id="rId1"/>
  <headerFooter>
    <oddFooter>&amp;CFolha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9"/>
  <sheetViews>
    <sheetView workbookViewId="0">
      <selection activeCell="L4" sqref="L4"/>
    </sheetView>
  </sheetViews>
  <sheetFormatPr defaultRowHeight="15" x14ac:dyDescent="0.25"/>
  <cols>
    <col min="1" max="1" width="5" style="2" customWidth="1"/>
    <col min="2" max="2" width="7.28515625" style="17" customWidth="1"/>
    <col min="3" max="3" width="14" style="103" customWidth="1"/>
    <col min="4" max="4" width="51.5703125" style="2" customWidth="1"/>
    <col min="5" max="5" width="9" style="75" customWidth="1"/>
    <col min="6" max="7" width="9.85546875" style="39" customWidth="1"/>
    <col min="8" max="8" width="11.7109375" style="39" customWidth="1"/>
    <col min="9" max="9" width="11" style="39" customWidth="1"/>
    <col min="10" max="10" width="11.85546875" style="48" customWidth="1"/>
    <col min="11" max="16384" width="9.140625" style="2"/>
  </cols>
  <sheetData>
    <row r="3" spans="1:10" ht="16.5" customHeight="1" x14ac:dyDescent="0.25">
      <c r="B3" s="15"/>
      <c r="C3" s="27"/>
      <c r="D3" s="239" t="s">
        <v>13</v>
      </c>
      <c r="E3" s="240"/>
      <c r="F3" s="240"/>
      <c r="G3" s="117"/>
      <c r="H3" s="122" t="s">
        <v>111</v>
      </c>
      <c r="I3" s="123" t="s">
        <v>113</v>
      </c>
      <c r="J3" s="87" t="s">
        <v>112</v>
      </c>
    </row>
    <row r="4" spans="1:10" ht="16.5" customHeight="1" x14ac:dyDescent="0.25">
      <c r="B4" s="16"/>
      <c r="C4" s="28"/>
      <c r="D4" s="241" t="s">
        <v>8</v>
      </c>
      <c r="E4" s="234"/>
      <c r="F4" s="234"/>
      <c r="G4" s="118"/>
      <c r="H4" s="30" t="s">
        <v>836</v>
      </c>
      <c r="I4" s="80" t="s">
        <v>910</v>
      </c>
      <c r="J4" s="80" t="s">
        <v>911</v>
      </c>
    </row>
    <row r="5" spans="1:10" ht="16.5" customHeight="1" x14ac:dyDescent="0.25">
      <c r="B5" s="16"/>
      <c r="C5" s="28"/>
      <c r="D5" s="241" t="s">
        <v>10</v>
      </c>
      <c r="E5" s="228"/>
      <c r="F5" s="228"/>
      <c r="G5" s="42"/>
      <c r="H5" s="42"/>
      <c r="I5" s="41"/>
      <c r="J5" s="53"/>
    </row>
    <row r="6" spans="1:10" ht="35.25" customHeight="1" x14ac:dyDescent="0.25">
      <c r="B6" s="16"/>
      <c r="C6" s="28"/>
      <c r="D6" s="242" t="s">
        <v>837</v>
      </c>
      <c r="E6" s="243"/>
      <c r="F6" s="243"/>
      <c r="G6" s="40"/>
      <c r="H6" s="40"/>
      <c r="I6" s="41"/>
      <c r="J6" s="54"/>
    </row>
    <row r="7" spans="1:10" ht="55.5" customHeight="1" x14ac:dyDescent="0.25">
      <c r="B7" s="16"/>
      <c r="C7" s="28"/>
      <c r="D7" s="230" t="s">
        <v>125</v>
      </c>
      <c r="E7" s="247"/>
      <c r="F7" s="248"/>
      <c r="G7" s="100" t="s">
        <v>75</v>
      </c>
      <c r="H7" s="244" t="s">
        <v>127</v>
      </c>
      <c r="I7" s="245"/>
      <c r="J7" s="246"/>
    </row>
    <row r="8" spans="1:10" ht="36.75" customHeight="1" x14ac:dyDescent="0.25">
      <c r="B8" s="16"/>
      <c r="C8" s="28"/>
      <c r="D8" s="230" t="s">
        <v>832</v>
      </c>
      <c r="E8" s="247"/>
      <c r="F8" s="248"/>
      <c r="G8" s="101" t="s">
        <v>76</v>
      </c>
      <c r="H8" s="244" t="s">
        <v>835</v>
      </c>
      <c r="I8" s="245"/>
      <c r="J8" s="246"/>
    </row>
    <row r="9" spans="1:10" ht="33.75" customHeight="1" x14ac:dyDescent="0.25">
      <c r="B9" s="16"/>
      <c r="C9" s="28"/>
      <c r="D9" s="230" t="s">
        <v>840</v>
      </c>
      <c r="E9" s="254"/>
      <c r="F9" s="248"/>
      <c r="G9" s="101" t="s">
        <v>77</v>
      </c>
      <c r="H9" s="244" t="s">
        <v>834</v>
      </c>
      <c r="I9" s="245"/>
      <c r="J9" s="246"/>
    </row>
    <row r="10" spans="1:10" ht="29.25" customHeight="1" x14ac:dyDescent="0.25">
      <c r="B10" s="16"/>
      <c r="C10" s="28"/>
      <c r="D10" s="255" t="s">
        <v>713</v>
      </c>
      <c r="E10" s="256"/>
      <c r="F10" s="257"/>
      <c r="G10" s="102" t="s">
        <v>78</v>
      </c>
      <c r="H10" s="258" t="s">
        <v>110</v>
      </c>
      <c r="I10" s="245"/>
      <c r="J10" s="246"/>
    </row>
    <row r="11" spans="1:10" x14ac:dyDescent="0.25">
      <c r="A11" s="3"/>
      <c r="B11" s="249" t="s">
        <v>11</v>
      </c>
      <c r="C11" s="236"/>
      <c r="D11" s="250"/>
      <c r="E11" s="250"/>
      <c r="F11" s="250"/>
      <c r="G11" s="236"/>
      <c r="H11" s="236"/>
      <c r="I11" s="236"/>
      <c r="J11" s="237"/>
    </row>
    <row r="12" spans="1:10" x14ac:dyDescent="0.25">
      <c r="A12" s="3"/>
      <c r="B12" s="18"/>
      <c r="C12" s="104"/>
      <c r="D12" s="23"/>
      <c r="E12" s="76"/>
      <c r="F12" s="44"/>
      <c r="G12" s="44"/>
      <c r="H12" s="44"/>
      <c r="I12" s="44"/>
      <c r="J12" s="50"/>
    </row>
    <row r="13" spans="1:10" x14ac:dyDescent="0.25">
      <c r="A13" s="3"/>
      <c r="B13" s="18"/>
      <c r="C13" s="104"/>
      <c r="D13" s="194"/>
      <c r="E13" s="76"/>
      <c r="F13" s="44"/>
      <c r="G13" s="44"/>
      <c r="H13" s="44"/>
      <c r="I13" s="24" t="s">
        <v>17</v>
      </c>
      <c r="J13" s="24">
        <v>1.2728999999999999</v>
      </c>
    </row>
    <row r="14" spans="1:10" x14ac:dyDescent="0.25">
      <c r="A14" s="3"/>
      <c r="B14" s="18"/>
      <c r="C14" s="104"/>
      <c r="D14" s="194"/>
      <c r="E14" s="76"/>
      <c r="F14" s="44"/>
      <c r="G14" s="44"/>
      <c r="H14" s="44"/>
      <c r="I14" s="24" t="s">
        <v>17</v>
      </c>
      <c r="J14" s="24">
        <v>1.0835999999999999</v>
      </c>
    </row>
    <row r="15" spans="1:10" s="21" customFormat="1" x14ac:dyDescent="0.25">
      <c r="A15" s="59"/>
      <c r="B15" s="18"/>
      <c r="C15" s="104"/>
      <c r="D15" s="194"/>
      <c r="E15" s="76"/>
      <c r="F15" s="44"/>
      <c r="G15" s="45"/>
      <c r="H15" s="45"/>
      <c r="I15" s="45"/>
      <c r="J15" s="182"/>
    </row>
    <row r="16" spans="1:10" s="99" customFormat="1" ht="15.75" customHeight="1" x14ac:dyDescent="0.2">
      <c r="A16" s="94"/>
      <c r="B16" s="95"/>
      <c r="C16" s="104"/>
      <c r="D16" s="96"/>
      <c r="E16" s="97"/>
      <c r="F16" s="98"/>
      <c r="G16" s="251" t="s">
        <v>14</v>
      </c>
      <c r="H16" s="252"/>
      <c r="I16" s="252"/>
      <c r="J16" s="253"/>
    </row>
    <row r="17" spans="1:10" s="99" customFormat="1" ht="15" customHeight="1" x14ac:dyDescent="0.2">
      <c r="A17" s="94"/>
      <c r="B17" s="265" t="s">
        <v>0</v>
      </c>
      <c r="C17" s="267" t="s">
        <v>12</v>
      </c>
      <c r="D17" s="259" t="s">
        <v>1</v>
      </c>
      <c r="E17" s="259" t="s">
        <v>2</v>
      </c>
      <c r="F17" s="259" t="s">
        <v>3</v>
      </c>
      <c r="G17" s="259" t="s">
        <v>15</v>
      </c>
      <c r="H17" s="259" t="s">
        <v>712</v>
      </c>
      <c r="I17" s="259" t="s">
        <v>16</v>
      </c>
      <c r="J17" s="263" t="s">
        <v>6</v>
      </c>
    </row>
    <row r="18" spans="1:10" s="99" customFormat="1" ht="12.75" x14ac:dyDescent="0.2">
      <c r="A18" s="94"/>
      <c r="B18" s="266"/>
      <c r="C18" s="268"/>
      <c r="D18" s="262"/>
      <c r="E18" s="262"/>
      <c r="F18" s="262"/>
      <c r="G18" s="262"/>
      <c r="H18" s="260"/>
      <c r="I18" s="261"/>
      <c r="J18" s="264"/>
    </row>
    <row r="19" spans="1:10" ht="15" customHeight="1" x14ac:dyDescent="0.25">
      <c r="A19" s="3"/>
      <c r="B19" s="29" t="s">
        <v>128</v>
      </c>
      <c r="C19" s="105"/>
      <c r="D19" s="26" t="s">
        <v>19</v>
      </c>
      <c r="E19" s="77"/>
      <c r="F19" s="46"/>
      <c r="G19" s="46"/>
      <c r="H19" s="46"/>
      <c r="I19" s="43"/>
      <c r="J19" s="51"/>
    </row>
    <row r="20" spans="1:10" s="21" customFormat="1" ht="75.75" customHeight="1" x14ac:dyDescent="0.25">
      <c r="B20" s="4" t="s">
        <v>129</v>
      </c>
      <c r="C20" s="106" t="s">
        <v>383</v>
      </c>
      <c r="D20" s="110" t="s">
        <v>20</v>
      </c>
      <c r="E20" s="78" t="s">
        <v>21</v>
      </c>
      <c r="F20" s="14">
        <v>12</v>
      </c>
      <c r="G20" s="14">
        <v>299</v>
      </c>
      <c r="H20" s="14">
        <f>TRUNC(G20*$J$13,2)</f>
        <v>380.59</v>
      </c>
      <c r="I20" s="14">
        <f>TRUNC(F20*H20,2)</f>
        <v>4567.08</v>
      </c>
      <c r="J20" s="52">
        <f t="shared" ref="J20:J25" si="0">(I20/$I$149)*100</f>
        <v>1.4017674421688209</v>
      </c>
    </row>
    <row r="21" spans="1:10" ht="110.25" customHeight="1" x14ac:dyDescent="0.25">
      <c r="B21" s="4" t="s">
        <v>130</v>
      </c>
      <c r="C21" s="32" t="s">
        <v>389</v>
      </c>
      <c r="D21" s="36" t="s">
        <v>134</v>
      </c>
      <c r="E21" s="69" t="s">
        <v>21</v>
      </c>
      <c r="F21" s="47">
        <v>304.92</v>
      </c>
      <c r="G21" s="14">
        <v>13.45</v>
      </c>
      <c r="H21" s="14">
        <f t="shared" ref="H21:H24" si="1">TRUNC(G21*$J$13,2)</f>
        <v>17.12</v>
      </c>
      <c r="I21" s="14">
        <f t="shared" ref="I21:I24" si="2">TRUNC(F21*H21,2)</f>
        <v>5220.2299999999996</v>
      </c>
      <c r="J21" s="52">
        <f t="shared" si="0"/>
        <v>1.6022378532088211</v>
      </c>
    </row>
    <row r="22" spans="1:10" ht="108.75" customHeight="1" x14ac:dyDescent="0.25">
      <c r="B22" s="4" t="s">
        <v>131</v>
      </c>
      <c r="C22" s="113" t="s">
        <v>391</v>
      </c>
      <c r="D22" s="119" t="s">
        <v>282</v>
      </c>
      <c r="E22" s="71" t="s">
        <v>21</v>
      </c>
      <c r="F22" s="47">
        <v>10</v>
      </c>
      <c r="G22" s="14">
        <v>321.52999999999997</v>
      </c>
      <c r="H22" s="14">
        <f t="shared" si="1"/>
        <v>409.27</v>
      </c>
      <c r="I22" s="14">
        <f t="shared" si="2"/>
        <v>4092.7</v>
      </c>
      <c r="J22" s="52">
        <f t="shared" si="0"/>
        <v>1.2561666558423179</v>
      </c>
    </row>
    <row r="23" spans="1:10" ht="165" customHeight="1" x14ac:dyDescent="0.25">
      <c r="B23" s="4" t="s">
        <v>132</v>
      </c>
      <c r="C23" s="113" t="s">
        <v>394</v>
      </c>
      <c r="D23" s="119" t="s">
        <v>305</v>
      </c>
      <c r="E23" s="71" t="s">
        <v>27</v>
      </c>
      <c r="F23" s="47">
        <v>1</v>
      </c>
      <c r="G23" s="14">
        <v>1622.29</v>
      </c>
      <c r="H23" s="14">
        <f t="shared" si="1"/>
        <v>2065.0100000000002</v>
      </c>
      <c r="I23" s="14">
        <f t="shared" si="2"/>
        <v>2065.0100000000002</v>
      </c>
      <c r="J23" s="52">
        <f t="shared" si="0"/>
        <v>0.63381061548145357</v>
      </c>
    </row>
    <row r="24" spans="1:10" ht="98.25" customHeight="1" x14ac:dyDescent="0.25">
      <c r="B24" s="4" t="s">
        <v>133</v>
      </c>
      <c r="C24" s="32" t="s">
        <v>156</v>
      </c>
      <c r="D24" s="81" t="s">
        <v>344</v>
      </c>
      <c r="E24" s="69" t="s">
        <v>27</v>
      </c>
      <c r="F24" s="47">
        <v>1</v>
      </c>
      <c r="G24" s="14">
        <v>2752.47</v>
      </c>
      <c r="H24" s="14">
        <f t="shared" si="1"/>
        <v>3503.61</v>
      </c>
      <c r="I24" s="14">
        <f t="shared" si="2"/>
        <v>3503.61</v>
      </c>
      <c r="J24" s="52">
        <f t="shared" si="0"/>
        <v>1.0753580905210993</v>
      </c>
    </row>
    <row r="25" spans="1:10" ht="15" customHeight="1" x14ac:dyDescent="0.25">
      <c r="A25" s="3"/>
      <c r="B25" s="29"/>
      <c r="C25" s="105"/>
      <c r="D25" s="64" t="s">
        <v>22</v>
      </c>
      <c r="E25" s="77"/>
      <c r="F25" s="46"/>
      <c r="G25" s="46"/>
      <c r="H25" s="46"/>
      <c r="I25" s="66">
        <f>SUM(I20:I24)</f>
        <v>19448.629999999997</v>
      </c>
      <c r="J25" s="74">
        <f t="shared" si="0"/>
        <v>5.9693406572225118</v>
      </c>
    </row>
    <row r="26" spans="1:10" s="21" customFormat="1" ht="15" customHeight="1" x14ac:dyDescent="0.25">
      <c r="B26" s="109">
        <v>2</v>
      </c>
      <c r="C26" s="108"/>
      <c r="D26" s="37" t="s">
        <v>28</v>
      </c>
      <c r="E26" s="78"/>
      <c r="F26" s="14"/>
      <c r="G26" s="14"/>
      <c r="H26" s="14"/>
      <c r="I26" s="14"/>
      <c r="J26" s="52"/>
    </row>
    <row r="27" spans="1:10" s="21" customFormat="1" ht="61.5" customHeight="1" x14ac:dyDescent="0.25">
      <c r="B27" s="109" t="s">
        <v>714</v>
      </c>
      <c r="C27" s="108" t="s">
        <v>405</v>
      </c>
      <c r="D27" s="120" t="s">
        <v>240</v>
      </c>
      <c r="E27" s="70" t="s">
        <v>21</v>
      </c>
      <c r="F27" s="14">
        <v>986.12</v>
      </c>
      <c r="G27" s="14">
        <v>2.13</v>
      </c>
      <c r="H27" s="14">
        <f>TRUNC(G27*$J$13,2)</f>
        <v>2.71</v>
      </c>
      <c r="I27" s="14">
        <f>TRUNC(F27*H27,2)</f>
        <v>2672.38</v>
      </c>
      <c r="J27" s="52">
        <f t="shared" ref="J27:J34" si="3">(I27/$I$149)*100</f>
        <v>0.82022983549732298</v>
      </c>
    </row>
    <row r="28" spans="1:10" s="21" customFormat="1" ht="69" customHeight="1" x14ac:dyDescent="0.25">
      <c r="B28" s="109" t="s">
        <v>715</v>
      </c>
      <c r="C28" s="108" t="s">
        <v>606</v>
      </c>
      <c r="D28" s="120" t="s">
        <v>605</v>
      </c>
      <c r="E28" s="70" t="s">
        <v>24</v>
      </c>
      <c r="F28" s="14">
        <v>353.61</v>
      </c>
      <c r="G28" s="14">
        <v>2.38</v>
      </c>
      <c r="H28" s="14">
        <f t="shared" ref="H28:H33" si="4">TRUNC(G28*$J$13,2)</f>
        <v>3.02</v>
      </c>
      <c r="I28" s="14">
        <f t="shared" ref="I28:I33" si="5">TRUNC(F28*H28,2)</f>
        <v>1067.9000000000001</v>
      </c>
      <c r="J28" s="52">
        <f t="shared" si="3"/>
        <v>0.32776904531825235</v>
      </c>
    </row>
    <row r="29" spans="1:10" s="21" customFormat="1" ht="99.75" customHeight="1" x14ac:dyDescent="0.25">
      <c r="B29" s="109" t="s">
        <v>716</v>
      </c>
      <c r="C29" s="32" t="s">
        <v>406</v>
      </c>
      <c r="D29" s="81" t="s">
        <v>248</v>
      </c>
      <c r="E29" s="69" t="s">
        <v>24</v>
      </c>
      <c r="F29" s="183">
        <v>49.49</v>
      </c>
      <c r="G29" s="38">
        <v>43.91</v>
      </c>
      <c r="H29" s="14">
        <f t="shared" si="4"/>
        <v>55.89</v>
      </c>
      <c r="I29" s="14">
        <f t="shared" si="5"/>
        <v>2765.99</v>
      </c>
      <c r="J29" s="52">
        <f t="shared" si="3"/>
        <v>0.84896142116287354</v>
      </c>
    </row>
    <row r="30" spans="1:10" s="21" customFormat="1" ht="83.25" customHeight="1" x14ac:dyDescent="0.25">
      <c r="B30" s="109" t="s">
        <v>717</v>
      </c>
      <c r="C30" s="32" t="s">
        <v>435</v>
      </c>
      <c r="D30" s="81" t="s">
        <v>249</v>
      </c>
      <c r="E30" s="69" t="s">
        <v>24</v>
      </c>
      <c r="F30" s="14">
        <v>94.65</v>
      </c>
      <c r="G30" s="14">
        <v>17.170000000000002</v>
      </c>
      <c r="H30" s="14">
        <f t="shared" si="4"/>
        <v>21.85</v>
      </c>
      <c r="I30" s="14">
        <f t="shared" si="5"/>
        <v>2068.1</v>
      </c>
      <c r="J30" s="52">
        <f t="shared" si="3"/>
        <v>0.63475902483629332</v>
      </c>
    </row>
    <row r="31" spans="1:10" ht="78.75" customHeight="1" x14ac:dyDescent="0.25">
      <c r="A31" s="3"/>
      <c r="B31" s="109" t="s">
        <v>718</v>
      </c>
      <c r="C31" s="32" t="s">
        <v>407</v>
      </c>
      <c r="D31" s="81" t="s">
        <v>114</v>
      </c>
      <c r="E31" s="69" t="s">
        <v>24</v>
      </c>
      <c r="F31" s="58">
        <v>429.38</v>
      </c>
      <c r="G31" s="58">
        <v>1.7</v>
      </c>
      <c r="H31" s="14">
        <f t="shared" si="4"/>
        <v>2.16</v>
      </c>
      <c r="I31" s="14">
        <f t="shared" si="5"/>
        <v>927.46</v>
      </c>
      <c r="J31" s="52">
        <f t="shared" si="3"/>
        <v>0.28466399360508127</v>
      </c>
    </row>
    <row r="32" spans="1:10" ht="58.5" customHeight="1" x14ac:dyDescent="0.25">
      <c r="A32" s="3"/>
      <c r="B32" s="109" t="s">
        <v>719</v>
      </c>
      <c r="C32" s="32" t="s">
        <v>408</v>
      </c>
      <c r="D32" s="81" t="s">
        <v>226</v>
      </c>
      <c r="E32" s="69" t="s">
        <v>26</v>
      </c>
      <c r="F32" s="58">
        <v>5710.75</v>
      </c>
      <c r="G32" s="58">
        <v>1.5</v>
      </c>
      <c r="H32" s="14">
        <f t="shared" si="4"/>
        <v>1.9</v>
      </c>
      <c r="I32" s="14">
        <f t="shared" si="5"/>
        <v>10850.42</v>
      </c>
      <c r="J32" s="52">
        <f t="shared" si="3"/>
        <v>3.3303041527315962</v>
      </c>
    </row>
    <row r="33" spans="1:10" ht="56.25" customHeight="1" x14ac:dyDescent="0.25">
      <c r="A33" s="3"/>
      <c r="B33" s="109" t="s">
        <v>720</v>
      </c>
      <c r="C33" s="32" t="s">
        <v>409</v>
      </c>
      <c r="D33" s="81" t="s">
        <v>115</v>
      </c>
      <c r="E33" s="69" t="s">
        <v>24</v>
      </c>
      <c r="F33" s="58">
        <v>429.38</v>
      </c>
      <c r="G33" s="58">
        <v>1.63</v>
      </c>
      <c r="H33" s="14">
        <f t="shared" si="4"/>
        <v>2.0699999999999998</v>
      </c>
      <c r="I33" s="14">
        <f t="shared" si="5"/>
        <v>888.81</v>
      </c>
      <c r="J33" s="52">
        <f t="shared" si="3"/>
        <v>0.27280120345473902</v>
      </c>
    </row>
    <row r="34" spans="1:10" ht="15" customHeight="1" x14ac:dyDescent="0.25">
      <c r="A34" s="3"/>
      <c r="B34" s="29"/>
      <c r="C34" s="105"/>
      <c r="D34" s="64" t="s">
        <v>22</v>
      </c>
      <c r="E34" s="77"/>
      <c r="F34" s="46"/>
      <c r="G34" s="46"/>
      <c r="H34" s="46"/>
      <c r="I34" s="66">
        <f>SUM(I27:I33)</f>
        <v>21241.06</v>
      </c>
      <c r="J34" s="74">
        <f t="shared" si="3"/>
        <v>6.5194886766061586</v>
      </c>
    </row>
    <row r="35" spans="1:10" ht="15" customHeight="1" x14ac:dyDescent="0.25">
      <c r="A35" s="3"/>
      <c r="B35" s="29" t="s">
        <v>227</v>
      </c>
      <c r="C35" s="105"/>
      <c r="D35" s="26" t="s">
        <v>243</v>
      </c>
      <c r="E35" s="77"/>
      <c r="F35" s="46"/>
      <c r="G35" s="46"/>
      <c r="H35" s="46"/>
      <c r="I35" s="43"/>
      <c r="J35" s="52"/>
    </row>
    <row r="36" spans="1:10" ht="77.25" customHeight="1" x14ac:dyDescent="0.25">
      <c r="A36" s="3"/>
      <c r="B36" s="29" t="s">
        <v>721</v>
      </c>
      <c r="C36" s="108" t="s">
        <v>425</v>
      </c>
      <c r="D36" s="81" t="s">
        <v>268</v>
      </c>
      <c r="E36" s="69"/>
      <c r="F36" s="58"/>
      <c r="G36" s="58"/>
      <c r="H36" s="14"/>
      <c r="I36" s="14"/>
      <c r="J36" s="52"/>
    </row>
    <row r="37" spans="1:10" ht="15" customHeight="1" x14ac:dyDescent="0.25">
      <c r="A37" s="3"/>
      <c r="B37" s="29" t="s">
        <v>722</v>
      </c>
      <c r="C37" s="108"/>
      <c r="D37" s="81" t="s">
        <v>273</v>
      </c>
      <c r="E37" s="69" t="s">
        <v>24</v>
      </c>
      <c r="F37" s="58">
        <v>0.77</v>
      </c>
      <c r="G37" s="58">
        <v>176.37</v>
      </c>
      <c r="H37" s="14">
        <f t="shared" ref="H37:H45" si="6">TRUNC(G37*$J$13,2)</f>
        <v>224.5</v>
      </c>
      <c r="I37" s="14">
        <f t="shared" ref="I37:I45" si="7">TRUNC(F37*H37,2)</f>
        <v>172.86</v>
      </c>
      <c r="J37" s="52">
        <f t="shared" ref="J37:J46" si="8">(I37/$I$149)*100</f>
        <v>5.3055676724143741E-2</v>
      </c>
    </row>
    <row r="38" spans="1:10" ht="15" customHeight="1" x14ac:dyDescent="0.25">
      <c r="A38" s="3"/>
      <c r="B38" s="29" t="s">
        <v>723</v>
      </c>
      <c r="C38" s="108"/>
      <c r="D38" s="81" t="s">
        <v>274</v>
      </c>
      <c r="E38" s="69" t="s">
        <v>24</v>
      </c>
      <c r="F38" s="58">
        <v>11.12</v>
      </c>
      <c r="G38" s="43">
        <v>176.37</v>
      </c>
      <c r="H38" s="14">
        <f t="shared" si="6"/>
        <v>224.5</v>
      </c>
      <c r="I38" s="14">
        <f t="shared" si="7"/>
        <v>2496.44</v>
      </c>
      <c r="J38" s="52">
        <f t="shared" si="8"/>
        <v>0.76622881870427739</v>
      </c>
    </row>
    <row r="39" spans="1:10" ht="15" customHeight="1" x14ac:dyDescent="0.25">
      <c r="A39" s="3"/>
      <c r="B39" s="29" t="s">
        <v>724</v>
      </c>
      <c r="C39" s="108"/>
      <c r="D39" s="81" t="s">
        <v>280</v>
      </c>
      <c r="E39" s="69" t="s">
        <v>24</v>
      </c>
      <c r="F39" s="58">
        <v>4.4800000000000004</v>
      </c>
      <c r="G39" s="43">
        <v>176.37</v>
      </c>
      <c r="H39" s="14">
        <f t="shared" si="6"/>
        <v>224.5</v>
      </c>
      <c r="I39" s="14">
        <f t="shared" si="7"/>
        <v>1005.76</v>
      </c>
      <c r="J39" s="52">
        <f t="shared" si="8"/>
        <v>0.30869650249956498</v>
      </c>
    </row>
    <row r="40" spans="1:10" ht="99.75" customHeight="1" x14ac:dyDescent="0.25">
      <c r="A40" s="3"/>
      <c r="B40" s="29" t="s">
        <v>725</v>
      </c>
      <c r="C40" s="32" t="s">
        <v>427</v>
      </c>
      <c r="D40" s="81" t="s">
        <v>270</v>
      </c>
      <c r="E40" s="69" t="s">
        <v>27</v>
      </c>
      <c r="F40" s="58">
        <v>4</v>
      </c>
      <c r="G40" s="14">
        <v>112.36</v>
      </c>
      <c r="H40" s="14">
        <f t="shared" si="6"/>
        <v>143.02000000000001</v>
      </c>
      <c r="I40" s="14">
        <f t="shared" si="7"/>
        <v>572.08000000000004</v>
      </c>
      <c r="J40" s="52">
        <f t="shared" si="8"/>
        <v>0.17558770994069275</v>
      </c>
    </row>
    <row r="41" spans="1:10" ht="93" customHeight="1" x14ac:dyDescent="0.25">
      <c r="A41" s="3"/>
      <c r="B41" s="29" t="s">
        <v>726</v>
      </c>
      <c r="C41" s="32" t="s">
        <v>831</v>
      </c>
      <c r="D41" s="81" t="s">
        <v>650</v>
      </c>
      <c r="E41" s="69" t="s">
        <v>27</v>
      </c>
      <c r="F41" s="58">
        <v>1</v>
      </c>
      <c r="G41" s="14">
        <v>130.02000000000001</v>
      </c>
      <c r="H41" s="14">
        <f t="shared" si="6"/>
        <v>165.5</v>
      </c>
      <c r="I41" s="14">
        <f t="shared" si="7"/>
        <v>165.5</v>
      </c>
      <c r="J41" s="52">
        <f t="shared" si="8"/>
        <v>5.0796682273781028E-2</v>
      </c>
    </row>
    <row r="42" spans="1:10" ht="67.5" customHeight="1" x14ac:dyDescent="0.25">
      <c r="A42" s="3"/>
      <c r="B42" s="29" t="s">
        <v>727</v>
      </c>
      <c r="C42" s="32" t="s">
        <v>651</v>
      </c>
      <c r="D42" s="81" t="s">
        <v>798</v>
      </c>
      <c r="E42" s="69" t="s">
        <v>27</v>
      </c>
      <c r="F42" s="58">
        <v>1</v>
      </c>
      <c r="G42" s="14">
        <v>31.17</v>
      </c>
      <c r="H42" s="14">
        <f t="shared" si="6"/>
        <v>39.67</v>
      </c>
      <c r="I42" s="14">
        <f t="shared" si="7"/>
        <v>39.67</v>
      </c>
      <c r="J42" s="52">
        <f t="shared" si="8"/>
        <v>1.2175857316017481E-2</v>
      </c>
    </row>
    <row r="43" spans="1:10" ht="30.75" customHeight="1" x14ac:dyDescent="0.25">
      <c r="A43" s="3"/>
      <c r="B43" s="29" t="s">
        <v>728</v>
      </c>
      <c r="C43" s="32" t="s">
        <v>431</v>
      </c>
      <c r="D43" s="81" t="s">
        <v>799</v>
      </c>
      <c r="E43" s="69" t="s">
        <v>21</v>
      </c>
      <c r="F43" s="47">
        <v>1</v>
      </c>
      <c r="G43" s="67">
        <v>93.51</v>
      </c>
      <c r="H43" s="14">
        <f t="shared" si="6"/>
        <v>119.02</v>
      </c>
      <c r="I43" s="14">
        <f t="shared" si="7"/>
        <v>119.02</v>
      </c>
      <c r="J43" s="52">
        <f t="shared" si="8"/>
        <v>3.6530641233990441E-2</v>
      </c>
    </row>
    <row r="44" spans="1:10" ht="30.75" customHeight="1" x14ac:dyDescent="0.25">
      <c r="A44" s="3"/>
      <c r="B44" s="29" t="s">
        <v>729</v>
      </c>
      <c r="C44" s="32" t="s">
        <v>432</v>
      </c>
      <c r="D44" s="81" t="s">
        <v>800</v>
      </c>
      <c r="E44" s="69" t="s">
        <v>21</v>
      </c>
      <c r="F44" s="58">
        <v>1</v>
      </c>
      <c r="G44" s="67">
        <v>328.3</v>
      </c>
      <c r="H44" s="14">
        <f t="shared" si="6"/>
        <v>417.89</v>
      </c>
      <c r="I44" s="14">
        <f t="shared" si="7"/>
        <v>417.89</v>
      </c>
      <c r="J44" s="52">
        <f t="shared" si="8"/>
        <v>0.12826239006278159</v>
      </c>
    </row>
    <row r="45" spans="1:10" ht="33" customHeight="1" x14ac:dyDescent="0.25">
      <c r="A45" s="3"/>
      <c r="B45" s="29" t="s">
        <v>730</v>
      </c>
      <c r="C45" s="33" t="s">
        <v>822</v>
      </c>
      <c r="D45" s="81" t="s">
        <v>801</v>
      </c>
      <c r="E45" s="90" t="s">
        <v>21</v>
      </c>
      <c r="F45" s="187">
        <v>2.2000000000000002</v>
      </c>
      <c r="G45" s="188">
        <v>12.91</v>
      </c>
      <c r="H45" s="14">
        <f t="shared" si="6"/>
        <v>16.43</v>
      </c>
      <c r="I45" s="14">
        <f t="shared" si="7"/>
        <v>36.14</v>
      </c>
      <c r="J45" s="52">
        <f t="shared" si="8"/>
        <v>1.1092399379906019E-2</v>
      </c>
    </row>
    <row r="46" spans="1:10" ht="15" customHeight="1" x14ac:dyDescent="0.25">
      <c r="A46" s="3"/>
      <c r="B46" s="29"/>
      <c r="C46" s="105"/>
      <c r="D46" s="64" t="s">
        <v>22</v>
      </c>
      <c r="E46" s="77"/>
      <c r="F46" s="46"/>
      <c r="G46" s="82"/>
      <c r="H46" s="82"/>
      <c r="I46" s="68">
        <f>SUM(I37:I45)</f>
        <v>5025.3600000000015</v>
      </c>
      <c r="J46" s="74">
        <f t="shared" si="8"/>
        <v>1.5424266781351559</v>
      </c>
    </row>
    <row r="47" spans="1:10" ht="39" customHeight="1" x14ac:dyDescent="0.25">
      <c r="B47" s="4" t="s">
        <v>228</v>
      </c>
      <c r="C47" s="32"/>
      <c r="D47" s="26" t="s">
        <v>434</v>
      </c>
      <c r="E47" s="69"/>
      <c r="F47" s="47"/>
      <c r="G47" s="14"/>
      <c r="H47" s="14"/>
      <c r="I47" s="14"/>
      <c r="J47" s="52"/>
    </row>
    <row r="48" spans="1:10" ht="93.75" customHeight="1" x14ac:dyDescent="0.25">
      <c r="A48" s="3"/>
      <c r="B48" s="29" t="s">
        <v>731</v>
      </c>
      <c r="C48" s="113" t="s">
        <v>406</v>
      </c>
      <c r="D48" s="119" t="s">
        <v>248</v>
      </c>
      <c r="E48" s="71" t="s">
        <v>24</v>
      </c>
      <c r="F48" s="58">
        <v>73.14</v>
      </c>
      <c r="G48" s="58">
        <v>43.91</v>
      </c>
      <c r="H48" s="14">
        <f t="shared" ref="H48:H63" si="9">TRUNC(G48*$J$13,2)</f>
        <v>55.89</v>
      </c>
      <c r="I48" s="14">
        <f t="shared" ref="I48:I63" si="10">TRUNC(F48*H48,2)</f>
        <v>4087.79</v>
      </c>
      <c r="J48" s="52">
        <f t="shared" ref="J48:J64" si="11">(I48/$I$149)*100</f>
        <v>1.2546596364467633</v>
      </c>
    </row>
    <row r="49" spans="1:10" ht="48.75" customHeight="1" x14ac:dyDescent="0.25">
      <c r="A49" s="3"/>
      <c r="B49" s="29" t="s">
        <v>732</v>
      </c>
      <c r="C49" s="113" t="s">
        <v>589</v>
      </c>
      <c r="D49" s="119" t="s">
        <v>590</v>
      </c>
      <c r="E49" s="71" t="s">
        <v>23</v>
      </c>
      <c r="F49" s="58">
        <v>9</v>
      </c>
      <c r="G49" s="58">
        <v>18.079999999999998</v>
      </c>
      <c r="H49" s="14">
        <f t="shared" si="9"/>
        <v>23.01</v>
      </c>
      <c r="I49" s="14">
        <f t="shared" si="10"/>
        <v>207.09</v>
      </c>
      <c r="J49" s="52">
        <f t="shared" si="11"/>
        <v>6.3561842489893133E-2</v>
      </c>
    </row>
    <row r="50" spans="1:10" ht="80.25" customHeight="1" x14ac:dyDescent="0.25">
      <c r="A50" s="3"/>
      <c r="B50" s="29" t="s">
        <v>733</v>
      </c>
      <c r="C50" s="32" t="s">
        <v>435</v>
      </c>
      <c r="D50" s="81" t="s">
        <v>249</v>
      </c>
      <c r="E50" s="69" t="s">
        <v>24</v>
      </c>
      <c r="F50" s="58">
        <v>40.369999999999997</v>
      </c>
      <c r="G50" s="58">
        <v>17.170000000000002</v>
      </c>
      <c r="H50" s="14">
        <f t="shared" si="9"/>
        <v>21.85</v>
      </c>
      <c r="I50" s="14">
        <f t="shared" si="10"/>
        <v>882.08</v>
      </c>
      <c r="J50" s="52">
        <f t="shared" si="11"/>
        <v>0.27073557401846987</v>
      </c>
    </row>
    <row r="51" spans="1:10" ht="79.5" customHeight="1" x14ac:dyDescent="0.25">
      <c r="A51" s="3"/>
      <c r="B51" s="29" t="s">
        <v>734</v>
      </c>
      <c r="C51" s="32" t="s">
        <v>436</v>
      </c>
      <c r="D51" s="81" t="s">
        <v>354</v>
      </c>
      <c r="E51" s="69" t="s">
        <v>24</v>
      </c>
      <c r="F51" s="58">
        <v>5.44</v>
      </c>
      <c r="G51" s="58">
        <v>361.8</v>
      </c>
      <c r="H51" s="14">
        <f t="shared" si="9"/>
        <v>460.53</v>
      </c>
      <c r="I51" s="14">
        <f t="shared" si="10"/>
        <v>2505.2800000000002</v>
      </c>
      <c r="J51" s="52">
        <f t="shared" si="11"/>
        <v>0.76894206747346305</v>
      </c>
    </row>
    <row r="52" spans="1:10" ht="93" customHeight="1" x14ac:dyDescent="0.25">
      <c r="A52" s="3"/>
      <c r="B52" s="29" t="s">
        <v>735</v>
      </c>
      <c r="C52" s="32" t="s">
        <v>437</v>
      </c>
      <c r="D52" s="81" t="s">
        <v>355</v>
      </c>
      <c r="E52" s="69" t="s">
        <v>24</v>
      </c>
      <c r="F52" s="58">
        <v>37.950000000000003</v>
      </c>
      <c r="G52" s="58">
        <v>389.98</v>
      </c>
      <c r="H52" s="14">
        <f t="shared" si="9"/>
        <v>496.4</v>
      </c>
      <c r="I52" s="14">
        <f t="shared" si="10"/>
        <v>18838.38</v>
      </c>
      <c r="J52" s="52">
        <f t="shared" si="11"/>
        <v>5.7820374828565013</v>
      </c>
    </row>
    <row r="53" spans="1:10" ht="110.25" customHeight="1" x14ac:dyDescent="0.25">
      <c r="A53" s="3"/>
      <c r="B53" s="29" t="s">
        <v>736</v>
      </c>
      <c r="C53" s="32" t="s">
        <v>438</v>
      </c>
      <c r="D53" s="81" t="s">
        <v>367</v>
      </c>
      <c r="E53" s="69" t="s">
        <v>24</v>
      </c>
      <c r="F53" s="58">
        <v>6.77</v>
      </c>
      <c r="G53" s="58">
        <v>417.04</v>
      </c>
      <c r="H53" s="14">
        <f t="shared" si="9"/>
        <v>530.85</v>
      </c>
      <c r="I53" s="14">
        <f t="shared" si="10"/>
        <v>3593.85</v>
      </c>
      <c r="J53" s="52">
        <f t="shared" si="11"/>
        <v>1.1030553268255465</v>
      </c>
    </row>
    <row r="54" spans="1:10" ht="126.75" customHeight="1" x14ac:dyDescent="0.25">
      <c r="A54" s="3"/>
      <c r="B54" s="29" t="s">
        <v>737</v>
      </c>
      <c r="C54" s="32" t="s">
        <v>439</v>
      </c>
      <c r="D54" s="81" t="s">
        <v>360</v>
      </c>
      <c r="E54" s="69" t="s">
        <v>21</v>
      </c>
      <c r="F54" s="58">
        <v>127.86</v>
      </c>
      <c r="G54" s="58">
        <v>59.97</v>
      </c>
      <c r="H54" s="14">
        <f t="shared" si="9"/>
        <v>76.33</v>
      </c>
      <c r="I54" s="14">
        <f t="shared" si="10"/>
        <v>9759.5499999999993</v>
      </c>
      <c r="J54" s="52">
        <f t="shared" si="11"/>
        <v>2.9954849576137739</v>
      </c>
    </row>
    <row r="55" spans="1:10" ht="60.75" customHeight="1" x14ac:dyDescent="0.25">
      <c r="A55" s="3"/>
      <c r="B55" s="29" t="s">
        <v>738</v>
      </c>
      <c r="C55" s="32" t="s">
        <v>483</v>
      </c>
      <c r="D55" s="81" t="s">
        <v>139</v>
      </c>
      <c r="E55" s="69" t="s">
        <v>21</v>
      </c>
      <c r="F55" s="58">
        <v>205.03</v>
      </c>
      <c r="G55" s="58">
        <v>52.22</v>
      </c>
      <c r="H55" s="14">
        <f t="shared" si="9"/>
        <v>66.47</v>
      </c>
      <c r="I55" s="14">
        <f t="shared" si="10"/>
        <v>13628.34</v>
      </c>
      <c r="J55" s="52">
        <f t="shared" si="11"/>
        <v>4.1829272320184945</v>
      </c>
    </row>
    <row r="56" spans="1:10" ht="125.25" customHeight="1" x14ac:dyDescent="0.25">
      <c r="A56" s="3"/>
      <c r="B56" s="29" t="s">
        <v>739</v>
      </c>
      <c r="C56" s="32" t="s">
        <v>823</v>
      </c>
      <c r="D56" s="81" t="s">
        <v>813</v>
      </c>
      <c r="E56" s="69" t="s">
        <v>29</v>
      </c>
      <c r="F56" s="58">
        <v>66.03</v>
      </c>
      <c r="G56" s="58">
        <v>7.06</v>
      </c>
      <c r="H56" s="14">
        <f t="shared" si="9"/>
        <v>8.98</v>
      </c>
      <c r="I56" s="14">
        <f t="shared" si="10"/>
        <v>592.94000000000005</v>
      </c>
      <c r="J56" s="52">
        <f t="shared" si="11"/>
        <v>0.18199024040734577</v>
      </c>
    </row>
    <row r="57" spans="1:10" ht="119.25" customHeight="1" x14ac:dyDescent="0.25">
      <c r="A57" s="3"/>
      <c r="B57" s="29" t="s">
        <v>740</v>
      </c>
      <c r="C57" s="32" t="s">
        <v>824</v>
      </c>
      <c r="D57" s="81" t="s">
        <v>811</v>
      </c>
      <c r="E57" s="69" t="s">
        <v>29</v>
      </c>
      <c r="F57" s="58">
        <v>499.23</v>
      </c>
      <c r="G57" s="58">
        <v>7.1</v>
      </c>
      <c r="H57" s="14">
        <f t="shared" si="9"/>
        <v>9.0299999999999994</v>
      </c>
      <c r="I57" s="14">
        <f t="shared" si="10"/>
        <v>4508.04</v>
      </c>
      <c r="J57" s="52">
        <f t="shared" si="11"/>
        <v>1.3836463779909114</v>
      </c>
    </row>
    <row r="58" spans="1:10" ht="115.5" customHeight="1" x14ac:dyDescent="0.25">
      <c r="A58" s="3"/>
      <c r="B58" s="29" t="s">
        <v>741</v>
      </c>
      <c r="C58" s="32" t="s">
        <v>825</v>
      </c>
      <c r="D58" s="81" t="s">
        <v>812</v>
      </c>
      <c r="E58" s="69" t="s">
        <v>29</v>
      </c>
      <c r="F58" s="58">
        <v>2827.72</v>
      </c>
      <c r="G58" s="58">
        <v>6.54</v>
      </c>
      <c r="H58" s="14">
        <f t="shared" si="9"/>
        <v>8.32</v>
      </c>
      <c r="I58" s="14">
        <f t="shared" si="10"/>
        <v>23526.63</v>
      </c>
      <c r="J58" s="52">
        <f t="shared" si="11"/>
        <v>7.2209954627359814</v>
      </c>
    </row>
    <row r="59" spans="1:10" ht="64.5" customHeight="1" x14ac:dyDescent="0.25">
      <c r="A59" s="3"/>
      <c r="B59" s="29" t="s">
        <v>742</v>
      </c>
      <c r="C59" s="113" t="s">
        <v>244</v>
      </c>
      <c r="D59" s="119" t="s">
        <v>252</v>
      </c>
      <c r="E59" s="71" t="s">
        <v>21</v>
      </c>
      <c r="F59" s="58">
        <v>280.8</v>
      </c>
      <c r="G59" s="58">
        <v>9.98</v>
      </c>
      <c r="H59" s="14">
        <f t="shared" si="9"/>
        <v>12.7</v>
      </c>
      <c r="I59" s="14">
        <f t="shared" si="10"/>
        <v>3566.16</v>
      </c>
      <c r="J59" s="52">
        <f t="shared" si="11"/>
        <v>1.0945564740632443</v>
      </c>
    </row>
    <row r="60" spans="1:10" ht="55.5" customHeight="1" x14ac:dyDescent="0.25">
      <c r="A60" s="3"/>
      <c r="B60" s="29" t="s">
        <v>743</v>
      </c>
      <c r="C60" s="32" t="s">
        <v>468</v>
      </c>
      <c r="D60" s="81" t="s">
        <v>276</v>
      </c>
      <c r="E60" s="69" t="s">
        <v>29</v>
      </c>
      <c r="F60" s="47">
        <v>176.47</v>
      </c>
      <c r="G60" s="58">
        <v>6.71</v>
      </c>
      <c r="H60" s="14">
        <f t="shared" si="9"/>
        <v>8.5399999999999991</v>
      </c>
      <c r="I60" s="14">
        <f t="shared" si="10"/>
        <v>1507.05</v>
      </c>
      <c r="J60" s="52">
        <f t="shared" si="11"/>
        <v>0.46255673728520658</v>
      </c>
    </row>
    <row r="61" spans="1:10" ht="52.5" customHeight="1" x14ac:dyDescent="0.25">
      <c r="A61" s="3"/>
      <c r="B61" s="29" t="s">
        <v>744</v>
      </c>
      <c r="C61" s="32" t="s">
        <v>469</v>
      </c>
      <c r="D61" s="81" t="s">
        <v>346</v>
      </c>
      <c r="E61" s="69" t="s">
        <v>24</v>
      </c>
      <c r="F61" s="58">
        <v>12.55</v>
      </c>
      <c r="G61" s="58">
        <v>115.56</v>
      </c>
      <c r="H61" s="14">
        <f t="shared" si="9"/>
        <v>147.09</v>
      </c>
      <c r="I61" s="14">
        <f t="shared" si="10"/>
        <v>1845.97</v>
      </c>
      <c r="J61" s="52">
        <f t="shared" si="11"/>
        <v>0.56658097629565896</v>
      </c>
    </row>
    <row r="62" spans="1:10" ht="46.5" customHeight="1" x14ac:dyDescent="0.25">
      <c r="A62" s="3"/>
      <c r="B62" s="29" t="s">
        <v>745</v>
      </c>
      <c r="C62" s="108" t="s">
        <v>470</v>
      </c>
      <c r="D62" s="120" t="s">
        <v>254</v>
      </c>
      <c r="E62" s="70" t="s">
        <v>23</v>
      </c>
      <c r="F62" s="58">
        <v>14.07</v>
      </c>
      <c r="G62" s="58">
        <v>11.33</v>
      </c>
      <c r="H62" s="14">
        <f t="shared" si="9"/>
        <v>14.42</v>
      </c>
      <c r="I62" s="14">
        <f t="shared" si="10"/>
        <v>202.88</v>
      </c>
      <c r="J62" s="52">
        <f t="shared" si="11"/>
        <v>6.2269673109998147E-2</v>
      </c>
    </row>
    <row r="63" spans="1:10" ht="99.95" customHeight="1" x14ac:dyDescent="0.25">
      <c r="A63" s="3"/>
      <c r="B63" s="29" t="s">
        <v>746</v>
      </c>
      <c r="C63" s="108" t="s">
        <v>471</v>
      </c>
      <c r="D63" s="120" t="s">
        <v>259</v>
      </c>
      <c r="E63" s="70" t="s">
        <v>21</v>
      </c>
      <c r="F63" s="58">
        <v>30.96</v>
      </c>
      <c r="G63" s="58">
        <v>69.959999999999994</v>
      </c>
      <c r="H63" s="14">
        <f t="shared" si="9"/>
        <v>89.05</v>
      </c>
      <c r="I63" s="14">
        <f t="shared" si="10"/>
        <v>2756.98</v>
      </c>
      <c r="J63" s="52">
        <f t="shared" si="11"/>
        <v>0.84619599453274208</v>
      </c>
    </row>
    <row r="64" spans="1:10" ht="15" customHeight="1" x14ac:dyDescent="0.25">
      <c r="A64" s="3"/>
      <c r="B64" s="29"/>
      <c r="C64" s="105"/>
      <c r="D64" s="64" t="s">
        <v>22</v>
      </c>
      <c r="E64" s="77"/>
      <c r="F64" s="46"/>
      <c r="G64" s="46"/>
      <c r="H64" s="46"/>
      <c r="I64" s="66">
        <f>SUM(I48:I63)</f>
        <v>92009.010000000009</v>
      </c>
      <c r="J64" s="74">
        <f t="shared" si="11"/>
        <v>28.240196056163995</v>
      </c>
    </row>
    <row r="65" spans="1:10" ht="15" customHeight="1" x14ac:dyDescent="0.25">
      <c r="B65" s="109">
        <v>5</v>
      </c>
      <c r="C65" s="108"/>
      <c r="D65" s="37" t="s">
        <v>261</v>
      </c>
      <c r="E65" s="70"/>
      <c r="F65" s="14"/>
      <c r="G65" s="14"/>
      <c r="H65" s="14"/>
      <c r="I65" s="14"/>
      <c r="J65" s="52"/>
    </row>
    <row r="66" spans="1:10" ht="15" customHeight="1" x14ac:dyDescent="0.25">
      <c r="B66" s="109" t="s">
        <v>747</v>
      </c>
      <c r="C66" s="108"/>
      <c r="D66" s="24" t="s">
        <v>262</v>
      </c>
      <c r="E66" s="70"/>
      <c r="F66" s="14"/>
      <c r="G66" s="14"/>
      <c r="H66" s="14"/>
      <c r="I66" s="14"/>
      <c r="J66" s="52"/>
    </row>
    <row r="67" spans="1:10" ht="24.75" customHeight="1" x14ac:dyDescent="0.25">
      <c r="A67" s="3"/>
      <c r="B67" s="29" t="s">
        <v>749</v>
      </c>
      <c r="C67" s="32" t="s">
        <v>58</v>
      </c>
      <c r="D67" s="110" t="s">
        <v>264</v>
      </c>
      <c r="E67" s="69" t="s">
        <v>27</v>
      </c>
      <c r="F67" s="84">
        <v>8</v>
      </c>
      <c r="G67" s="84">
        <v>456.75</v>
      </c>
      <c r="H67" s="14">
        <f>TRUNC(G67*$J$14,2)</f>
        <v>494.93</v>
      </c>
      <c r="I67" s="14">
        <f t="shared" ref="I67:I70" si="12">TRUNC(F67*H67,2)</f>
        <v>3959.44</v>
      </c>
      <c r="J67" s="52">
        <f>(I67/$I$149)*100</f>
        <v>1.2152653514326257</v>
      </c>
    </row>
    <row r="68" spans="1:10" ht="48" customHeight="1" x14ac:dyDescent="0.25">
      <c r="A68" s="3"/>
      <c r="B68" s="29" t="s">
        <v>750</v>
      </c>
      <c r="C68" s="32" t="s">
        <v>58</v>
      </c>
      <c r="D68" s="110" t="s">
        <v>265</v>
      </c>
      <c r="E68" s="111" t="s">
        <v>263</v>
      </c>
      <c r="F68" s="84">
        <v>3</v>
      </c>
      <c r="G68" s="84">
        <v>670</v>
      </c>
      <c r="H68" s="14">
        <f t="shared" ref="H68:H70" si="13">TRUNC(G68*$J$14,2)</f>
        <v>726.01</v>
      </c>
      <c r="I68" s="14">
        <f t="shared" si="12"/>
        <v>2178.0300000000002</v>
      </c>
      <c r="J68" s="52">
        <f>(I68/$I$149)*100</f>
        <v>0.66849968515264835</v>
      </c>
    </row>
    <row r="69" spans="1:10" ht="15" customHeight="1" x14ac:dyDescent="0.25">
      <c r="B69" s="109" t="s">
        <v>748</v>
      </c>
      <c r="C69" s="108"/>
      <c r="D69" s="24" t="s">
        <v>267</v>
      </c>
      <c r="E69" s="70"/>
      <c r="F69" s="14"/>
      <c r="G69" s="14"/>
      <c r="H69" s="14"/>
      <c r="I69" s="14"/>
      <c r="J69" s="52"/>
    </row>
    <row r="70" spans="1:10" ht="115.5" customHeight="1" x14ac:dyDescent="0.25">
      <c r="A70" s="3"/>
      <c r="B70" s="29" t="s">
        <v>751</v>
      </c>
      <c r="C70" s="32" t="s">
        <v>58</v>
      </c>
      <c r="D70" s="83" t="s">
        <v>904</v>
      </c>
      <c r="E70" s="69" t="s">
        <v>27</v>
      </c>
      <c r="F70" s="84">
        <v>3</v>
      </c>
      <c r="G70" s="84">
        <v>14410.89</v>
      </c>
      <c r="H70" s="14">
        <f t="shared" si="13"/>
        <v>15615.64</v>
      </c>
      <c r="I70" s="14">
        <f t="shared" si="12"/>
        <v>46846.92</v>
      </c>
      <c r="J70" s="52">
        <f>(I70/$I$149)*100</f>
        <v>14.378659279427419</v>
      </c>
    </row>
    <row r="71" spans="1:10" ht="15" customHeight="1" x14ac:dyDescent="0.25">
      <c r="A71" s="3"/>
      <c r="B71" s="29"/>
      <c r="C71" s="105"/>
      <c r="D71" s="64" t="s">
        <v>22</v>
      </c>
      <c r="E71" s="77"/>
      <c r="F71" s="46"/>
      <c r="G71" s="46"/>
      <c r="H71" s="46"/>
      <c r="I71" s="66">
        <f>SUM(I66:I70)</f>
        <v>52984.39</v>
      </c>
      <c r="J71" s="74">
        <f>(I71/$I$149)*100</f>
        <v>16.262424316012691</v>
      </c>
    </row>
    <row r="72" spans="1:10" ht="15" customHeight="1" x14ac:dyDescent="0.25">
      <c r="B72" s="109">
        <v>6</v>
      </c>
      <c r="C72" s="108"/>
      <c r="D72" s="37" t="s">
        <v>266</v>
      </c>
      <c r="E72" s="70"/>
      <c r="F72" s="14"/>
      <c r="G72" s="14"/>
      <c r="H72" s="14"/>
      <c r="I72" s="14"/>
      <c r="J72" s="52"/>
    </row>
    <row r="73" spans="1:10" ht="15" customHeight="1" x14ac:dyDescent="0.25">
      <c r="B73" s="109" t="s">
        <v>752</v>
      </c>
      <c r="C73" s="108"/>
      <c r="D73" s="24" t="s">
        <v>262</v>
      </c>
      <c r="E73" s="70"/>
      <c r="F73" s="14"/>
      <c r="G73" s="14"/>
      <c r="H73" s="14"/>
      <c r="I73" s="14"/>
      <c r="J73" s="52"/>
    </row>
    <row r="74" spans="1:10" ht="33.75" customHeight="1" x14ac:dyDescent="0.25">
      <c r="B74" s="109" t="s">
        <v>753</v>
      </c>
      <c r="C74" s="32" t="s">
        <v>707</v>
      </c>
      <c r="D74" s="81" t="s">
        <v>806</v>
      </c>
      <c r="E74" s="6" t="s">
        <v>27</v>
      </c>
      <c r="F74" s="14">
        <v>8</v>
      </c>
      <c r="G74" s="14">
        <v>46.09</v>
      </c>
      <c r="H74" s="14">
        <f>TRUNC(G74*$J$13,2)</f>
        <v>58.66</v>
      </c>
      <c r="I74" s="14">
        <f>TRUNC(F74*H74,2)</f>
        <v>469.28</v>
      </c>
      <c r="J74" s="52">
        <f>(I74/$I$149)*100</f>
        <v>0.14403545049812663</v>
      </c>
    </row>
    <row r="75" spans="1:10" ht="39" customHeight="1" x14ac:dyDescent="0.25">
      <c r="A75" s="3"/>
      <c r="B75" s="109" t="s">
        <v>754</v>
      </c>
      <c r="C75" s="93" t="s">
        <v>826</v>
      </c>
      <c r="D75" s="120" t="s">
        <v>804</v>
      </c>
      <c r="E75" s="38" t="s">
        <v>27</v>
      </c>
      <c r="F75" s="58">
        <v>3</v>
      </c>
      <c r="G75" s="58">
        <v>57.47</v>
      </c>
      <c r="H75" s="14">
        <f>TRUNC(G75*$J$13,2)</f>
        <v>73.150000000000006</v>
      </c>
      <c r="I75" s="14">
        <f>TRUNC(F75*H75,2)</f>
        <v>219.45</v>
      </c>
      <c r="J75" s="52">
        <f>(I75/$I$149)*100</f>
        <v>6.7355479909252239E-2</v>
      </c>
    </row>
    <row r="76" spans="1:10" ht="15" customHeight="1" x14ac:dyDescent="0.25">
      <c r="A76" s="3"/>
      <c r="B76" s="29"/>
      <c r="C76" s="105"/>
      <c r="D76" s="64" t="s">
        <v>22</v>
      </c>
      <c r="E76" s="77"/>
      <c r="F76" s="46"/>
      <c r="G76" s="46"/>
      <c r="H76" s="46"/>
      <c r="I76" s="66">
        <f>SUM(I74:I75)</f>
        <v>688.73</v>
      </c>
      <c r="J76" s="74">
        <f>(I76/$I$149)*100</f>
        <v>0.21139093040737889</v>
      </c>
    </row>
    <row r="77" spans="1:10" ht="15" customHeight="1" x14ac:dyDescent="0.25">
      <c r="A77" s="3"/>
      <c r="B77" s="29" t="s">
        <v>230</v>
      </c>
      <c r="C77" s="105"/>
      <c r="D77" s="26" t="s">
        <v>79</v>
      </c>
      <c r="E77" s="77"/>
      <c r="F77" s="46"/>
      <c r="G77" s="46"/>
      <c r="H77" s="46"/>
      <c r="I77" s="43"/>
      <c r="J77" s="52"/>
    </row>
    <row r="78" spans="1:10" ht="47.25" customHeight="1" x14ac:dyDescent="0.25">
      <c r="A78" s="3"/>
      <c r="B78" s="29" t="s">
        <v>755</v>
      </c>
      <c r="C78" s="107" t="s">
        <v>500</v>
      </c>
      <c r="D78" s="119" t="s">
        <v>808</v>
      </c>
      <c r="E78" s="79" t="s">
        <v>27</v>
      </c>
      <c r="F78" s="65">
        <v>13</v>
      </c>
      <c r="G78" s="58">
        <v>39.67</v>
      </c>
      <c r="H78" s="58">
        <f>TRUNC(G78*$J$13,2)</f>
        <v>50.49</v>
      </c>
      <c r="I78" s="14">
        <f>TRUNC(F78*H78,2)</f>
        <v>656.37</v>
      </c>
      <c r="J78" s="52">
        <f t="shared" ref="J78:J86" si="14">(I78/$I$149)*100</f>
        <v>0.20145872111203417</v>
      </c>
    </row>
    <row r="79" spans="1:10" ht="48.75" customHeight="1" x14ac:dyDescent="0.25">
      <c r="A79" s="3"/>
      <c r="B79" s="29" t="s">
        <v>756</v>
      </c>
      <c r="C79" s="107" t="s">
        <v>502</v>
      </c>
      <c r="D79" s="119" t="s">
        <v>809</v>
      </c>
      <c r="E79" s="79" t="s">
        <v>27</v>
      </c>
      <c r="F79" s="58">
        <v>3</v>
      </c>
      <c r="G79" s="58">
        <v>10.27</v>
      </c>
      <c r="H79" s="58">
        <f t="shared" ref="H79:H105" si="15">TRUNC(G79*$J$13,2)</f>
        <v>13.07</v>
      </c>
      <c r="I79" s="14">
        <f t="shared" ref="I79:I105" si="16">TRUNC(F79*H79,2)</f>
        <v>39.21</v>
      </c>
      <c r="J79" s="52">
        <f t="shared" si="14"/>
        <v>1.2034670162869812E-2</v>
      </c>
    </row>
    <row r="80" spans="1:10" ht="60" customHeight="1" x14ac:dyDescent="0.25">
      <c r="A80" s="3"/>
      <c r="B80" s="29" t="s">
        <v>757</v>
      </c>
      <c r="C80" s="107" t="s">
        <v>505</v>
      </c>
      <c r="D80" s="119" t="s">
        <v>810</v>
      </c>
      <c r="E80" s="79" t="s">
        <v>27</v>
      </c>
      <c r="F80" s="58">
        <v>3</v>
      </c>
      <c r="G80" s="58">
        <v>119.87</v>
      </c>
      <c r="H80" s="58">
        <f t="shared" si="15"/>
        <v>152.58000000000001</v>
      </c>
      <c r="I80" s="14">
        <f t="shared" si="16"/>
        <v>457.74</v>
      </c>
      <c r="J80" s="52">
        <f t="shared" si="14"/>
        <v>0.14049349452568294</v>
      </c>
    </row>
    <row r="81" spans="1:10" ht="75.75" customHeight="1" x14ac:dyDescent="0.25">
      <c r="A81" s="3"/>
      <c r="B81" s="29" t="s">
        <v>758</v>
      </c>
      <c r="C81" s="107" t="s">
        <v>510</v>
      </c>
      <c r="D81" s="55" t="s">
        <v>838</v>
      </c>
      <c r="E81" s="71" t="s">
        <v>27</v>
      </c>
      <c r="F81" s="58">
        <v>10</v>
      </c>
      <c r="G81" s="58">
        <v>315.23</v>
      </c>
      <c r="H81" s="58">
        <f t="shared" si="15"/>
        <v>401.25</v>
      </c>
      <c r="I81" s="14">
        <f t="shared" si="16"/>
        <v>4012.5</v>
      </c>
      <c r="J81" s="52">
        <f t="shared" si="14"/>
        <v>1.2315509826196156</v>
      </c>
    </row>
    <row r="82" spans="1:10" ht="53.25" customHeight="1" x14ac:dyDescent="0.25">
      <c r="A82" s="3"/>
      <c r="B82" s="29" t="s">
        <v>759</v>
      </c>
      <c r="C82" s="107" t="s">
        <v>515</v>
      </c>
      <c r="D82" s="119" t="s">
        <v>814</v>
      </c>
      <c r="E82" s="79" t="s">
        <v>27</v>
      </c>
      <c r="F82" s="58">
        <v>3</v>
      </c>
      <c r="G82" s="58">
        <v>220.7</v>
      </c>
      <c r="H82" s="58">
        <f t="shared" si="15"/>
        <v>280.92</v>
      </c>
      <c r="I82" s="14">
        <f t="shared" si="16"/>
        <v>842.76</v>
      </c>
      <c r="J82" s="52">
        <f t="shared" si="14"/>
        <v>0.25866714171028216</v>
      </c>
    </row>
    <row r="83" spans="1:10" ht="84.75" customHeight="1" x14ac:dyDescent="0.25">
      <c r="A83" s="3"/>
      <c r="B83" s="29" t="s">
        <v>760</v>
      </c>
      <c r="C83" s="107" t="s">
        <v>827</v>
      </c>
      <c r="D83" s="55" t="s">
        <v>208</v>
      </c>
      <c r="E83" s="79" t="s">
        <v>27</v>
      </c>
      <c r="F83" s="58">
        <v>10</v>
      </c>
      <c r="G83" s="58">
        <v>851.73</v>
      </c>
      <c r="H83" s="58">
        <f t="shared" si="15"/>
        <v>1084.1600000000001</v>
      </c>
      <c r="I83" s="14">
        <f t="shared" si="16"/>
        <v>10841.6</v>
      </c>
      <c r="J83" s="52">
        <f t="shared" si="14"/>
        <v>3.3275970425342862</v>
      </c>
    </row>
    <row r="84" spans="1:10" ht="76.5" customHeight="1" x14ac:dyDescent="0.25">
      <c r="A84" s="3"/>
      <c r="B84" s="29" t="s">
        <v>761</v>
      </c>
      <c r="C84" s="107" t="s">
        <v>828</v>
      </c>
      <c r="D84" s="55" t="s">
        <v>209</v>
      </c>
      <c r="E84" s="79" t="s">
        <v>27</v>
      </c>
      <c r="F84" s="58">
        <v>3</v>
      </c>
      <c r="G84" s="58">
        <v>353.16</v>
      </c>
      <c r="H84" s="58">
        <f t="shared" si="15"/>
        <v>449.53</v>
      </c>
      <c r="I84" s="14">
        <f t="shared" si="16"/>
        <v>1348.59</v>
      </c>
      <c r="J84" s="52">
        <f t="shared" si="14"/>
        <v>0.41392083231177257</v>
      </c>
    </row>
    <row r="85" spans="1:10" ht="63" customHeight="1" x14ac:dyDescent="0.25">
      <c r="A85" s="3"/>
      <c r="B85" s="29" t="s">
        <v>762</v>
      </c>
      <c r="C85" s="113" t="s">
        <v>527</v>
      </c>
      <c r="D85" s="119" t="s">
        <v>221</v>
      </c>
      <c r="E85" s="79" t="s">
        <v>23</v>
      </c>
      <c r="F85" s="58">
        <v>862.84</v>
      </c>
      <c r="G85" s="58">
        <v>4.3</v>
      </c>
      <c r="H85" s="58">
        <f t="shared" si="15"/>
        <v>5.47</v>
      </c>
      <c r="I85" s="14">
        <f t="shared" si="16"/>
        <v>4719.7299999999996</v>
      </c>
      <c r="J85" s="52">
        <f t="shared" si="14"/>
        <v>1.4486200920122809</v>
      </c>
    </row>
    <row r="86" spans="1:10" ht="68.25" customHeight="1" x14ac:dyDescent="0.25">
      <c r="A86" s="3"/>
      <c r="B86" s="29" t="s">
        <v>763</v>
      </c>
      <c r="C86" s="113" t="s">
        <v>527</v>
      </c>
      <c r="D86" s="119" t="s">
        <v>222</v>
      </c>
      <c r="E86" s="79" t="s">
        <v>23</v>
      </c>
      <c r="F86" s="58">
        <v>431.42</v>
      </c>
      <c r="G86" s="58">
        <v>4.3</v>
      </c>
      <c r="H86" s="58">
        <f t="shared" si="15"/>
        <v>5.47</v>
      </c>
      <c r="I86" s="14">
        <f t="shared" si="16"/>
        <v>2359.86</v>
      </c>
      <c r="J86" s="52">
        <f t="shared" si="14"/>
        <v>0.72430851136317154</v>
      </c>
    </row>
    <row r="87" spans="1:10" ht="48.75" customHeight="1" x14ac:dyDescent="0.25">
      <c r="A87" s="3"/>
      <c r="B87" s="29" t="s">
        <v>764</v>
      </c>
      <c r="C87" s="113" t="s">
        <v>530</v>
      </c>
      <c r="D87" s="119" t="s">
        <v>847</v>
      </c>
      <c r="E87" s="79"/>
      <c r="F87" s="58"/>
      <c r="G87" s="58"/>
      <c r="H87" s="58"/>
      <c r="I87" s="14"/>
      <c r="J87" s="52"/>
    </row>
    <row r="88" spans="1:10" ht="21" customHeight="1" x14ac:dyDescent="0.25">
      <c r="A88" s="3"/>
      <c r="B88" s="29" t="s">
        <v>765</v>
      </c>
      <c r="C88" s="113"/>
      <c r="D88" s="119" t="s">
        <v>223</v>
      </c>
      <c r="E88" s="79" t="s">
        <v>23</v>
      </c>
      <c r="F88" s="58">
        <v>60.5</v>
      </c>
      <c r="G88" s="58">
        <v>9.67</v>
      </c>
      <c r="H88" s="58">
        <f t="shared" si="15"/>
        <v>12.3</v>
      </c>
      <c r="I88" s="14">
        <f t="shared" si="16"/>
        <v>744.15</v>
      </c>
      <c r="J88" s="52">
        <f t="shared" ref="J88:J97" si="17">(I88/$I$149)*100</f>
        <v>0.22840091307573504</v>
      </c>
    </row>
    <row r="89" spans="1:10" ht="21" customHeight="1" x14ac:dyDescent="0.25">
      <c r="A89" s="3"/>
      <c r="B89" s="29" t="s">
        <v>766</v>
      </c>
      <c r="C89" s="113"/>
      <c r="D89" s="119" t="s">
        <v>224</v>
      </c>
      <c r="E89" s="79" t="s">
        <v>23</v>
      </c>
      <c r="F89" s="58">
        <v>5</v>
      </c>
      <c r="G89" s="58">
        <v>9.67</v>
      </c>
      <c r="H89" s="58">
        <f t="shared" si="15"/>
        <v>12.3</v>
      </c>
      <c r="I89" s="14">
        <f t="shared" si="16"/>
        <v>61.5</v>
      </c>
      <c r="J89" s="52">
        <f t="shared" si="17"/>
        <v>1.8876108518655788E-2</v>
      </c>
    </row>
    <row r="90" spans="1:10" ht="21" customHeight="1" x14ac:dyDescent="0.25">
      <c r="A90" s="3"/>
      <c r="B90" s="29" t="s">
        <v>767</v>
      </c>
      <c r="C90" s="113"/>
      <c r="D90" s="119" t="s">
        <v>225</v>
      </c>
      <c r="E90" s="79" t="s">
        <v>23</v>
      </c>
      <c r="F90" s="58">
        <v>164.76</v>
      </c>
      <c r="G90" s="58">
        <v>9.67</v>
      </c>
      <c r="H90" s="58">
        <f t="shared" si="15"/>
        <v>12.3</v>
      </c>
      <c r="I90" s="14">
        <f t="shared" si="16"/>
        <v>2026.54</v>
      </c>
      <c r="J90" s="52">
        <f t="shared" si="17"/>
        <v>0.62200307247799513</v>
      </c>
    </row>
    <row r="91" spans="1:10" ht="93.75" customHeight="1" x14ac:dyDescent="0.25">
      <c r="A91" s="3"/>
      <c r="B91" s="105" t="s">
        <v>768</v>
      </c>
      <c r="C91" s="113" t="s">
        <v>406</v>
      </c>
      <c r="D91" s="119" t="s">
        <v>815</v>
      </c>
      <c r="E91" s="71" t="s">
        <v>24</v>
      </c>
      <c r="F91" s="58">
        <v>13.18</v>
      </c>
      <c r="G91" s="38">
        <v>43.91</v>
      </c>
      <c r="H91" s="58">
        <f t="shared" si="15"/>
        <v>55.89</v>
      </c>
      <c r="I91" s="14">
        <f t="shared" si="16"/>
        <v>736.63</v>
      </c>
      <c r="J91" s="52">
        <f t="shared" si="17"/>
        <v>0.22609281005036447</v>
      </c>
    </row>
    <row r="92" spans="1:10" ht="80.25" customHeight="1" x14ac:dyDescent="0.25">
      <c r="A92" s="3"/>
      <c r="B92" s="29" t="s">
        <v>769</v>
      </c>
      <c r="C92" s="32" t="s">
        <v>435</v>
      </c>
      <c r="D92" s="81" t="s">
        <v>249</v>
      </c>
      <c r="E92" s="69" t="s">
        <v>24</v>
      </c>
      <c r="F92" s="58">
        <v>13.18</v>
      </c>
      <c r="G92" s="38">
        <v>17.170000000000002</v>
      </c>
      <c r="H92" s="58">
        <f t="shared" si="15"/>
        <v>21.85</v>
      </c>
      <c r="I92" s="14">
        <f t="shared" si="16"/>
        <v>287.98</v>
      </c>
      <c r="J92" s="52">
        <f t="shared" si="17"/>
        <v>8.8389296442316981E-2</v>
      </c>
    </row>
    <row r="93" spans="1:10" ht="45" customHeight="1" x14ac:dyDescent="0.25">
      <c r="A93" s="3"/>
      <c r="B93" s="29" t="s">
        <v>770</v>
      </c>
      <c r="C93" s="108" t="s">
        <v>841</v>
      </c>
      <c r="D93" s="63" t="s">
        <v>842</v>
      </c>
      <c r="E93" s="70" t="s">
        <v>27</v>
      </c>
      <c r="F93" s="58">
        <v>4</v>
      </c>
      <c r="G93" s="58">
        <v>53.59</v>
      </c>
      <c r="H93" s="58">
        <f t="shared" si="15"/>
        <v>68.209999999999994</v>
      </c>
      <c r="I93" s="14">
        <f t="shared" si="16"/>
        <v>272.83999999999997</v>
      </c>
      <c r="J93" s="52">
        <f t="shared" si="17"/>
        <v>8.3742397532195853E-2</v>
      </c>
    </row>
    <row r="94" spans="1:10" ht="48.75" customHeight="1" x14ac:dyDescent="0.25">
      <c r="A94" s="3"/>
      <c r="B94" s="29" t="s">
        <v>771</v>
      </c>
      <c r="C94" s="108" t="s">
        <v>843</v>
      </c>
      <c r="D94" s="63" t="s">
        <v>844</v>
      </c>
      <c r="E94" s="70" t="s">
        <v>27</v>
      </c>
      <c r="F94" s="58">
        <v>1</v>
      </c>
      <c r="G94" s="58">
        <v>87.03</v>
      </c>
      <c r="H94" s="58">
        <f t="shared" si="15"/>
        <v>110.78</v>
      </c>
      <c r="I94" s="14">
        <f t="shared" si="16"/>
        <v>110.78</v>
      </c>
      <c r="J94" s="52">
        <f t="shared" si="17"/>
        <v>3.4001549621084363E-2</v>
      </c>
    </row>
    <row r="95" spans="1:10" ht="81.75" customHeight="1" x14ac:dyDescent="0.25">
      <c r="A95" s="3"/>
      <c r="B95" s="29" t="s">
        <v>772</v>
      </c>
      <c r="C95" s="113" t="s">
        <v>533</v>
      </c>
      <c r="D95" s="119" t="s">
        <v>183</v>
      </c>
      <c r="E95" s="79" t="s">
        <v>27</v>
      </c>
      <c r="F95" s="58">
        <v>1</v>
      </c>
      <c r="G95" s="58">
        <v>303.63</v>
      </c>
      <c r="H95" s="58">
        <f t="shared" si="15"/>
        <v>386.49</v>
      </c>
      <c r="I95" s="14">
        <f t="shared" si="16"/>
        <v>386.49</v>
      </c>
      <c r="J95" s="52">
        <f t="shared" si="17"/>
        <v>0.11862483221748417</v>
      </c>
    </row>
    <row r="96" spans="1:10" ht="131.25" customHeight="1" x14ac:dyDescent="0.25">
      <c r="A96" s="3"/>
      <c r="B96" s="109" t="s">
        <v>773</v>
      </c>
      <c r="C96" s="107" t="s">
        <v>876</v>
      </c>
      <c r="D96" s="63" t="s">
        <v>894</v>
      </c>
      <c r="E96" s="70" t="s">
        <v>27</v>
      </c>
      <c r="F96" s="185">
        <v>1</v>
      </c>
      <c r="G96" s="58">
        <v>934.48</v>
      </c>
      <c r="H96" s="58">
        <f t="shared" si="15"/>
        <v>1189.49</v>
      </c>
      <c r="I96" s="14">
        <f t="shared" si="16"/>
        <v>1189.49</v>
      </c>
      <c r="J96" s="52">
        <f t="shared" si="17"/>
        <v>0.36508849303830687</v>
      </c>
    </row>
    <row r="97" spans="1:10" ht="97.5" customHeight="1" x14ac:dyDescent="0.25">
      <c r="A97" s="3"/>
      <c r="B97" s="109" t="s">
        <v>883</v>
      </c>
      <c r="C97" s="93" t="s">
        <v>893</v>
      </c>
      <c r="D97" s="63" t="s">
        <v>895</v>
      </c>
      <c r="E97" s="70" t="s">
        <v>27</v>
      </c>
      <c r="F97" s="58">
        <v>1</v>
      </c>
      <c r="G97" s="58">
        <v>501.85</v>
      </c>
      <c r="H97" s="58">
        <f t="shared" si="15"/>
        <v>638.79999999999995</v>
      </c>
      <c r="I97" s="14">
        <f t="shared" si="16"/>
        <v>638.79999999999995</v>
      </c>
      <c r="J97" s="52">
        <f t="shared" si="17"/>
        <v>0.19606598571898079</v>
      </c>
    </row>
    <row r="98" spans="1:10" ht="60" customHeight="1" x14ac:dyDescent="0.25">
      <c r="B98" s="109" t="s">
        <v>896</v>
      </c>
      <c r="C98" s="108"/>
      <c r="D98" s="24" t="s">
        <v>232</v>
      </c>
      <c r="E98" s="78"/>
      <c r="F98" s="14"/>
      <c r="G98" s="14"/>
      <c r="H98" s="58"/>
      <c r="I98" s="14"/>
      <c r="J98" s="52"/>
    </row>
    <row r="99" spans="1:10" ht="78" customHeight="1" x14ac:dyDescent="0.25">
      <c r="A99" s="3"/>
      <c r="B99" s="29" t="s">
        <v>897</v>
      </c>
      <c r="C99" s="113" t="s">
        <v>406</v>
      </c>
      <c r="D99" s="119" t="s">
        <v>816</v>
      </c>
      <c r="E99" s="71" t="s">
        <v>24</v>
      </c>
      <c r="F99" s="65">
        <v>0.09</v>
      </c>
      <c r="G99" s="58">
        <v>43.91</v>
      </c>
      <c r="H99" s="58">
        <f t="shared" si="15"/>
        <v>55.89</v>
      </c>
      <c r="I99" s="14">
        <f t="shared" si="16"/>
        <v>5.03</v>
      </c>
      <c r="J99" s="52">
        <f t="shared" ref="J99:J106" si="18">(I99/$I$149)*100</f>
        <v>1.5438508268103841E-3</v>
      </c>
    </row>
    <row r="100" spans="1:10" ht="159" customHeight="1" x14ac:dyDescent="0.25">
      <c r="A100" s="3"/>
      <c r="B100" s="29" t="s">
        <v>898</v>
      </c>
      <c r="C100" s="93" t="s">
        <v>545</v>
      </c>
      <c r="D100" s="63" t="s">
        <v>817</v>
      </c>
      <c r="E100" s="70" t="s">
        <v>24</v>
      </c>
      <c r="F100" s="14">
        <v>0.13</v>
      </c>
      <c r="G100" s="58">
        <v>1055.44</v>
      </c>
      <c r="H100" s="58">
        <f t="shared" si="15"/>
        <v>1343.46</v>
      </c>
      <c r="I100" s="14">
        <f t="shared" si="16"/>
        <v>174.64</v>
      </c>
      <c r="J100" s="52">
        <f t="shared" si="18"/>
        <v>5.360200962110645E-2</v>
      </c>
    </row>
    <row r="101" spans="1:10" ht="96.75" customHeight="1" x14ac:dyDescent="0.25">
      <c r="A101" s="3"/>
      <c r="B101" s="29" t="s">
        <v>899</v>
      </c>
      <c r="C101" s="108" t="s">
        <v>546</v>
      </c>
      <c r="D101" s="120" t="s">
        <v>215</v>
      </c>
      <c r="E101" s="78" t="s">
        <v>21</v>
      </c>
      <c r="F101" s="14">
        <v>2.76</v>
      </c>
      <c r="G101" s="58">
        <v>81.650000000000006</v>
      </c>
      <c r="H101" s="58">
        <f t="shared" si="15"/>
        <v>103.93</v>
      </c>
      <c r="I101" s="14">
        <f t="shared" si="16"/>
        <v>286.83999999999997</v>
      </c>
      <c r="J101" s="52">
        <f t="shared" si="18"/>
        <v>8.8039397845385794E-2</v>
      </c>
    </row>
    <row r="102" spans="1:10" ht="66.75" customHeight="1" x14ac:dyDescent="0.25">
      <c r="A102" s="3"/>
      <c r="B102" s="29" t="s">
        <v>900</v>
      </c>
      <c r="C102" s="108" t="s">
        <v>549</v>
      </c>
      <c r="D102" s="120" t="s">
        <v>66</v>
      </c>
      <c r="E102" s="78" t="s">
        <v>21</v>
      </c>
      <c r="F102" s="14">
        <v>5.78</v>
      </c>
      <c r="G102" s="58">
        <v>3.16</v>
      </c>
      <c r="H102" s="58">
        <f t="shared" si="15"/>
        <v>4.0199999999999996</v>
      </c>
      <c r="I102" s="14">
        <f t="shared" si="16"/>
        <v>23.23</v>
      </c>
      <c r="J102" s="52">
        <f t="shared" si="18"/>
        <v>7.1299512339573013E-3</v>
      </c>
    </row>
    <row r="103" spans="1:10" ht="96.75" customHeight="1" x14ac:dyDescent="0.25">
      <c r="A103" s="3"/>
      <c r="B103" s="29" t="s">
        <v>901</v>
      </c>
      <c r="C103" s="108" t="s">
        <v>552</v>
      </c>
      <c r="D103" s="120" t="s">
        <v>67</v>
      </c>
      <c r="E103" s="78" t="s">
        <v>21</v>
      </c>
      <c r="F103" s="58">
        <v>5.78</v>
      </c>
      <c r="G103" s="58">
        <v>28.04</v>
      </c>
      <c r="H103" s="58">
        <f t="shared" si="15"/>
        <v>35.69</v>
      </c>
      <c r="I103" s="14">
        <f t="shared" si="16"/>
        <v>206.28</v>
      </c>
      <c r="J103" s="52">
        <f t="shared" si="18"/>
        <v>6.3313230328915712E-2</v>
      </c>
    </row>
    <row r="104" spans="1:10" ht="33" customHeight="1" x14ac:dyDescent="0.25">
      <c r="A104" s="3"/>
      <c r="B104" s="29" t="s">
        <v>902</v>
      </c>
      <c r="C104" s="108" t="s">
        <v>553</v>
      </c>
      <c r="D104" s="120" t="s">
        <v>93</v>
      </c>
      <c r="E104" s="78" t="s">
        <v>21</v>
      </c>
      <c r="F104" s="14">
        <v>5.78</v>
      </c>
      <c r="G104" s="58">
        <v>2.2999999999999998</v>
      </c>
      <c r="H104" s="58">
        <f t="shared" si="15"/>
        <v>2.92</v>
      </c>
      <c r="I104" s="14">
        <f t="shared" si="16"/>
        <v>16.87</v>
      </c>
      <c r="J104" s="52">
        <f t="shared" si="18"/>
        <v>5.1778853773938724E-3</v>
      </c>
    </row>
    <row r="105" spans="1:10" s="8" customFormat="1" ht="54.75" customHeight="1" x14ac:dyDescent="0.25">
      <c r="A105" s="2"/>
      <c r="B105" s="29" t="s">
        <v>903</v>
      </c>
      <c r="C105" s="107" t="s">
        <v>559</v>
      </c>
      <c r="D105" s="119" t="s">
        <v>818</v>
      </c>
      <c r="E105" s="71" t="s">
        <v>21</v>
      </c>
      <c r="F105" s="65">
        <v>5.78</v>
      </c>
      <c r="G105" s="14">
        <v>30.54</v>
      </c>
      <c r="H105" s="58">
        <f t="shared" si="15"/>
        <v>38.869999999999997</v>
      </c>
      <c r="I105" s="14">
        <f t="shared" si="16"/>
        <v>224.66</v>
      </c>
      <c r="J105" s="52">
        <f t="shared" si="18"/>
        <v>6.8954577882946497E-2</v>
      </c>
    </row>
    <row r="106" spans="1:10" ht="15" customHeight="1" x14ac:dyDescent="0.25">
      <c r="A106" s="3"/>
      <c r="B106" s="29"/>
      <c r="C106" s="105"/>
      <c r="D106" s="64" t="s">
        <v>22</v>
      </c>
      <c r="E106" s="77"/>
      <c r="F106" s="46"/>
      <c r="G106" s="46"/>
      <c r="H106" s="46"/>
      <c r="I106" s="66">
        <f>SUM(I78:I105)</f>
        <v>32671.11</v>
      </c>
      <c r="J106" s="74">
        <f t="shared" si="18"/>
        <v>10.027697850161632</v>
      </c>
    </row>
    <row r="107" spans="1:10" s="8" customFormat="1" ht="15" customHeight="1" x14ac:dyDescent="0.25">
      <c r="A107" s="2"/>
      <c r="B107" s="116" t="s">
        <v>231</v>
      </c>
      <c r="C107" s="113"/>
      <c r="D107" s="56" t="s">
        <v>233</v>
      </c>
      <c r="E107" s="71"/>
      <c r="F107" s="65"/>
      <c r="G107" s="14"/>
      <c r="H107" s="14"/>
      <c r="I107" s="14"/>
      <c r="J107" s="52"/>
    </row>
    <row r="108" spans="1:10" s="8" customFormat="1" ht="31.5" customHeight="1" x14ac:dyDescent="0.25">
      <c r="A108" s="2"/>
      <c r="B108" s="116" t="s">
        <v>774</v>
      </c>
      <c r="C108" s="93" t="s">
        <v>626</v>
      </c>
      <c r="D108" s="120" t="s">
        <v>819</v>
      </c>
      <c r="E108" s="70" t="s">
        <v>24</v>
      </c>
      <c r="F108" s="65">
        <v>2.72</v>
      </c>
      <c r="G108" s="14">
        <v>77.89</v>
      </c>
      <c r="H108" s="58">
        <f t="shared" ref="H108:H113" si="19">TRUNC(G108*$J$13,2)</f>
        <v>99.14</v>
      </c>
      <c r="I108" s="14">
        <f t="shared" ref="I108:I113" si="20">TRUNC(F108*H108,2)</f>
        <v>269.66000000000003</v>
      </c>
      <c r="J108" s="52">
        <f t="shared" ref="J108:J114" si="21">(I108/$I$149)*100</f>
        <v>8.276636460391415E-2</v>
      </c>
    </row>
    <row r="109" spans="1:10" s="8" customFormat="1" ht="68.25" customHeight="1" x14ac:dyDescent="0.25">
      <c r="A109" s="2"/>
      <c r="B109" s="116" t="s">
        <v>775</v>
      </c>
      <c r="C109" s="113" t="s">
        <v>640</v>
      </c>
      <c r="D109" s="119" t="s">
        <v>636</v>
      </c>
      <c r="E109" s="71" t="s">
        <v>21</v>
      </c>
      <c r="F109" s="65">
        <v>388.33</v>
      </c>
      <c r="G109" s="14">
        <v>58.29</v>
      </c>
      <c r="H109" s="58">
        <f t="shared" si="19"/>
        <v>74.19</v>
      </c>
      <c r="I109" s="14">
        <f t="shared" si="20"/>
        <v>28810.2</v>
      </c>
      <c r="J109" s="52">
        <f t="shared" si="21"/>
        <v>8.8426741730760501</v>
      </c>
    </row>
    <row r="110" spans="1:10" s="8" customFormat="1" ht="122.25" customHeight="1" x14ac:dyDescent="0.25">
      <c r="A110" s="2"/>
      <c r="B110" s="116" t="s">
        <v>776</v>
      </c>
      <c r="C110" s="113" t="s">
        <v>560</v>
      </c>
      <c r="D110" s="119" t="s">
        <v>281</v>
      </c>
      <c r="E110" s="71" t="s">
        <v>23</v>
      </c>
      <c r="F110" s="65">
        <v>239.25</v>
      </c>
      <c r="G110" s="14">
        <v>48.42</v>
      </c>
      <c r="H110" s="58">
        <f t="shared" si="19"/>
        <v>61.63</v>
      </c>
      <c r="I110" s="14">
        <f t="shared" si="20"/>
        <v>14744.97</v>
      </c>
      <c r="J110" s="52">
        <f t="shared" si="21"/>
        <v>4.525652907712586</v>
      </c>
    </row>
    <row r="111" spans="1:10" s="8" customFormat="1" ht="135.75" customHeight="1" x14ac:dyDescent="0.25">
      <c r="A111" s="2"/>
      <c r="B111" s="116" t="s">
        <v>777</v>
      </c>
      <c r="C111" s="113" t="s">
        <v>561</v>
      </c>
      <c r="D111" s="119" t="s">
        <v>234</v>
      </c>
      <c r="E111" s="71" t="s">
        <v>23</v>
      </c>
      <c r="F111" s="65">
        <v>11.04</v>
      </c>
      <c r="G111" s="14">
        <v>53.26</v>
      </c>
      <c r="H111" s="58">
        <f t="shared" si="19"/>
        <v>67.790000000000006</v>
      </c>
      <c r="I111" s="14">
        <f t="shared" si="20"/>
        <v>748.4</v>
      </c>
      <c r="J111" s="52">
        <f t="shared" si="21"/>
        <v>0.22970535959938196</v>
      </c>
    </row>
    <row r="112" spans="1:10" s="8" customFormat="1" ht="95.25" customHeight="1" x14ac:dyDescent="0.25">
      <c r="A112" s="2"/>
      <c r="B112" s="116" t="s">
        <v>778</v>
      </c>
      <c r="C112" s="113" t="s">
        <v>639</v>
      </c>
      <c r="D112" s="119" t="s">
        <v>30</v>
      </c>
      <c r="E112" s="71" t="s">
        <v>21</v>
      </c>
      <c r="F112" s="65">
        <v>7.84</v>
      </c>
      <c r="G112" s="14">
        <v>111.95</v>
      </c>
      <c r="H112" s="58">
        <f t="shared" si="19"/>
        <v>142.5</v>
      </c>
      <c r="I112" s="14">
        <f t="shared" si="20"/>
        <v>1117.2</v>
      </c>
      <c r="J112" s="52">
        <f t="shared" si="21"/>
        <v>0.34290062499255686</v>
      </c>
    </row>
    <row r="113" spans="1:10" s="8" customFormat="1" ht="95.25" customHeight="1" x14ac:dyDescent="0.25">
      <c r="A113" s="2"/>
      <c r="B113" s="116" t="s">
        <v>905</v>
      </c>
      <c r="C113" s="191" t="s">
        <v>906</v>
      </c>
      <c r="D113" s="192" t="s">
        <v>907</v>
      </c>
      <c r="E113" s="193" t="s">
        <v>21</v>
      </c>
      <c r="F113" s="65">
        <v>37.979999999999997</v>
      </c>
      <c r="G113" s="14">
        <v>111.95</v>
      </c>
      <c r="H113" s="58">
        <f t="shared" si="19"/>
        <v>142.5</v>
      </c>
      <c r="I113" s="14">
        <f t="shared" si="20"/>
        <v>5412.15</v>
      </c>
      <c r="J113" s="52">
        <f t="shared" si="21"/>
        <v>1.6611435889307791</v>
      </c>
    </row>
    <row r="114" spans="1:10" ht="15" customHeight="1" x14ac:dyDescent="0.25">
      <c r="A114" s="3"/>
      <c r="B114" s="29"/>
      <c r="C114" s="105"/>
      <c r="D114" s="64" t="s">
        <v>22</v>
      </c>
      <c r="E114" s="77"/>
      <c r="F114" s="46"/>
      <c r="G114" s="46"/>
      <c r="H114" s="46"/>
      <c r="I114" s="66">
        <f>SUM(I108:I113)</f>
        <v>51102.58</v>
      </c>
      <c r="J114" s="74">
        <f t="shared" si="21"/>
        <v>15.684843018915268</v>
      </c>
    </row>
    <row r="115" spans="1:10" ht="15" customHeight="1" x14ac:dyDescent="0.25">
      <c r="A115" s="3"/>
      <c r="B115" s="29" t="s">
        <v>349</v>
      </c>
      <c r="C115" s="105"/>
      <c r="D115" s="26" t="s">
        <v>673</v>
      </c>
      <c r="E115" s="77"/>
      <c r="F115" s="46"/>
      <c r="G115" s="46"/>
      <c r="H115" s="46"/>
      <c r="I115" s="43"/>
      <c r="J115" s="52"/>
    </row>
    <row r="116" spans="1:10" ht="69" customHeight="1" x14ac:dyDescent="0.25">
      <c r="A116" s="3"/>
      <c r="B116" s="29" t="s">
        <v>779</v>
      </c>
      <c r="C116" s="32" t="s">
        <v>479</v>
      </c>
      <c r="D116" s="81" t="s">
        <v>147</v>
      </c>
      <c r="E116" s="69" t="s">
        <v>21</v>
      </c>
      <c r="F116" s="112">
        <v>301.42</v>
      </c>
      <c r="G116" s="58">
        <v>5.56</v>
      </c>
      <c r="H116" s="58">
        <f t="shared" ref="H116:H120" si="22">TRUNC(G116*$J$13,2)</f>
        <v>7.07</v>
      </c>
      <c r="I116" s="14">
        <f t="shared" ref="I116:I120" si="23">TRUNC(F116*H116,2)</f>
        <v>2131.0300000000002</v>
      </c>
      <c r="J116" s="52">
        <f t="shared" ref="J116:J121" si="24">(I116/$I$149)*100</f>
        <v>0.65407404124408208</v>
      </c>
    </row>
    <row r="117" spans="1:10" ht="56.25" customHeight="1" x14ac:dyDescent="0.25">
      <c r="A117" s="3"/>
      <c r="B117" s="29" t="s">
        <v>780</v>
      </c>
      <c r="C117" s="32" t="s">
        <v>468</v>
      </c>
      <c r="D117" s="81" t="s">
        <v>820</v>
      </c>
      <c r="E117" s="69" t="s">
        <v>29</v>
      </c>
      <c r="F117" s="112">
        <v>820.54</v>
      </c>
      <c r="G117" s="38">
        <v>6.71</v>
      </c>
      <c r="H117" s="58">
        <f t="shared" si="22"/>
        <v>8.5399999999999991</v>
      </c>
      <c r="I117" s="14">
        <f t="shared" si="23"/>
        <v>7007.41</v>
      </c>
      <c r="J117" s="52">
        <f t="shared" si="24"/>
        <v>2.1507744974750205</v>
      </c>
    </row>
    <row r="118" spans="1:10" ht="83.25" customHeight="1" x14ac:dyDescent="0.25">
      <c r="A118" s="3"/>
      <c r="B118" s="29" t="s">
        <v>781</v>
      </c>
      <c r="C118" s="32" t="s">
        <v>436</v>
      </c>
      <c r="D118" s="81" t="s">
        <v>354</v>
      </c>
      <c r="E118" s="69" t="s">
        <v>24</v>
      </c>
      <c r="F118" s="183">
        <v>14.06</v>
      </c>
      <c r="G118" s="43">
        <v>361.8</v>
      </c>
      <c r="H118" s="58">
        <f t="shared" si="22"/>
        <v>460.53</v>
      </c>
      <c r="I118" s="14">
        <f t="shared" si="23"/>
        <v>6475.05</v>
      </c>
      <c r="J118" s="52">
        <f t="shared" si="24"/>
        <v>1.9873779912800353</v>
      </c>
    </row>
    <row r="119" spans="1:10" ht="93" customHeight="1" x14ac:dyDescent="0.25">
      <c r="A119" s="3"/>
      <c r="B119" s="29" t="s">
        <v>782</v>
      </c>
      <c r="C119" s="32" t="s">
        <v>829</v>
      </c>
      <c r="D119" s="81" t="s">
        <v>355</v>
      </c>
      <c r="E119" s="69" t="s">
        <v>24</v>
      </c>
      <c r="F119" s="112">
        <v>27.72</v>
      </c>
      <c r="G119" s="43">
        <v>389.98</v>
      </c>
      <c r="H119" s="58">
        <f t="shared" si="22"/>
        <v>496.4</v>
      </c>
      <c r="I119" s="14">
        <f t="shared" si="23"/>
        <v>13760.2</v>
      </c>
      <c r="J119" s="52">
        <f t="shared" si="24"/>
        <v>4.2233988363968678</v>
      </c>
    </row>
    <row r="120" spans="1:10" ht="61.5" customHeight="1" x14ac:dyDescent="0.25">
      <c r="A120" s="3"/>
      <c r="B120" s="29" t="s">
        <v>783</v>
      </c>
      <c r="C120" s="32" t="s">
        <v>483</v>
      </c>
      <c r="D120" s="81" t="s">
        <v>139</v>
      </c>
      <c r="E120" s="69" t="s">
        <v>21</v>
      </c>
      <c r="F120" s="112">
        <v>50.13</v>
      </c>
      <c r="G120" s="58">
        <v>52.22</v>
      </c>
      <c r="H120" s="58">
        <f t="shared" si="22"/>
        <v>66.47</v>
      </c>
      <c r="I120" s="14">
        <f t="shared" si="23"/>
        <v>3332.14</v>
      </c>
      <c r="J120" s="52">
        <f t="shared" si="24"/>
        <v>1.0227290445423365</v>
      </c>
    </row>
    <row r="121" spans="1:10" ht="15" customHeight="1" x14ac:dyDescent="0.25">
      <c r="A121" s="3"/>
      <c r="B121" s="29"/>
      <c r="C121" s="105"/>
      <c r="D121" s="64" t="s">
        <v>22</v>
      </c>
      <c r="E121" s="77"/>
      <c r="F121" s="46"/>
      <c r="G121" s="46"/>
      <c r="H121" s="46"/>
      <c r="I121" s="66">
        <f>SUM(I116:I120)</f>
        <v>32705.83</v>
      </c>
      <c r="J121" s="74">
        <f t="shared" si="24"/>
        <v>10.038354410938343</v>
      </c>
    </row>
    <row r="122" spans="1:10" ht="15" customHeight="1" x14ac:dyDescent="0.25">
      <c r="A122" s="3"/>
      <c r="B122" s="29" t="s">
        <v>350</v>
      </c>
      <c r="C122" s="105"/>
      <c r="D122" s="26" t="s">
        <v>275</v>
      </c>
      <c r="E122" s="77"/>
      <c r="F122" s="46"/>
      <c r="G122" s="46"/>
      <c r="H122" s="46"/>
      <c r="I122" s="66"/>
      <c r="J122" s="52"/>
    </row>
    <row r="123" spans="1:10" ht="60" customHeight="1" x14ac:dyDescent="0.25">
      <c r="A123" s="3"/>
      <c r="B123" s="29" t="s">
        <v>784</v>
      </c>
      <c r="C123" s="108" t="s">
        <v>675</v>
      </c>
      <c r="D123" s="119" t="s">
        <v>627</v>
      </c>
      <c r="E123" s="184" t="s">
        <v>27</v>
      </c>
      <c r="F123" s="84">
        <v>8</v>
      </c>
      <c r="G123" s="84">
        <v>38.729999999999997</v>
      </c>
      <c r="H123" s="58">
        <f t="shared" ref="H123:H124" si="25">TRUNC(G123*$J$13,2)</f>
        <v>49.29</v>
      </c>
      <c r="I123" s="14">
        <f t="shared" ref="I123:I124" si="26">TRUNC(F123*H123,2)</f>
        <v>394.32</v>
      </c>
      <c r="J123" s="52">
        <f>(I123/$I$149)*100</f>
        <v>0.12102808310693253</v>
      </c>
    </row>
    <row r="124" spans="1:10" ht="85.5" customHeight="1" x14ac:dyDescent="0.25">
      <c r="A124" s="3"/>
      <c r="B124" s="29" t="s">
        <v>785</v>
      </c>
      <c r="C124" s="113" t="s">
        <v>830</v>
      </c>
      <c r="D124" s="121" t="s">
        <v>672</v>
      </c>
      <c r="E124" s="71" t="s">
        <v>23</v>
      </c>
      <c r="F124" s="58">
        <v>17.100000000000001</v>
      </c>
      <c r="G124" s="58">
        <v>177.42</v>
      </c>
      <c r="H124" s="58">
        <f t="shared" si="25"/>
        <v>225.83</v>
      </c>
      <c r="I124" s="14">
        <f t="shared" si="26"/>
        <v>3861.69</v>
      </c>
      <c r="J124" s="52">
        <f>(I124/$I$149)*100</f>
        <v>1.1852630813887459</v>
      </c>
    </row>
    <row r="125" spans="1:10" ht="15" customHeight="1" x14ac:dyDescent="0.25">
      <c r="A125" s="3"/>
      <c r="B125" s="29"/>
      <c r="C125" s="105"/>
      <c r="D125" s="64" t="s">
        <v>22</v>
      </c>
      <c r="E125" s="77"/>
      <c r="F125" s="46"/>
      <c r="G125" s="46"/>
      <c r="H125" s="46"/>
      <c r="I125" s="66">
        <f>SUM(I123:I124)</f>
        <v>4256.01</v>
      </c>
      <c r="J125" s="74">
        <f>(I125/$I$149)*100</f>
        <v>1.3062911644956785</v>
      </c>
    </row>
    <row r="126" spans="1:10" s="8" customFormat="1" ht="15" customHeight="1" x14ac:dyDescent="0.25">
      <c r="A126" s="2"/>
      <c r="B126" s="116" t="s">
        <v>351</v>
      </c>
      <c r="C126" s="113"/>
      <c r="D126" s="56" t="s">
        <v>149</v>
      </c>
      <c r="E126" s="71"/>
      <c r="F126" s="65"/>
      <c r="G126" s="14"/>
      <c r="H126" s="14"/>
      <c r="I126" s="14"/>
      <c r="J126" s="52"/>
    </row>
    <row r="127" spans="1:10" s="8" customFormat="1" ht="54.75" customHeight="1" x14ac:dyDescent="0.25">
      <c r="A127" s="2"/>
      <c r="B127" s="116" t="s">
        <v>786</v>
      </c>
      <c r="C127" s="113" t="s">
        <v>569</v>
      </c>
      <c r="D127" s="55" t="s">
        <v>153</v>
      </c>
      <c r="E127" s="71" t="s">
        <v>24</v>
      </c>
      <c r="F127" s="65">
        <v>16</v>
      </c>
      <c r="G127" s="14">
        <v>154.87</v>
      </c>
      <c r="H127" s="58">
        <f t="shared" ref="H127:H129" si="27">TRUNC(G127*$J$13,2)</f>
        <v>197.13</v>
      </c>
      <c r="I127" s="14">
        <f t="shared" ref="I127:I129" si="28">TRUNC(F127*H127,2)</f>
        <v>3154.08</v>
      </c>
      <c r="J127" s="52">
        <f>(I127/$I$149)*100</f>
        <v>0.96807733913043659</v>
      </c>
    </row>
    <row r="128" spans="1:10" ht="57" customHeight="1" x14ac:dyDescent="0.25">
      <c r="A128" s="3"/>
      <c r="B128" s="116" t="s">
        <v>787</v>
      </c>
      <c r="C128" s="107" t="s">
        <v>574</v>
      </c>
      <c r="D128" s="55" t="s">
        <v>155</v>
      </c>
      <c r="E128" s="71" t="s">
        <v>27</v>
      </c>
      <c r="F128" s="58">
        <v>31</v>
      </c>
      <c r="G128" s="58">
        <v>28.98</v>
      </c>
      <c r="H128" s="58">
        <f t="shared" si="27"/>
        <v>36.880000000000003</v>
      </c>
      <c r="I128" s="14">
        <f t="shared" si="28"/>
        <v>1143.28</v>
      </c>
      <c r="J128" s="52">
        <f>(I128/$I$149)*100</f>
        <v>0.35090532271884212</v>
      </c>
    </row>
    <row r="129" spans="1:10" ht="74.25" customHeight="1" x14ac:dyDescent="0.25">
      <c r="A129" s="3"/>
      <c r="B129" s="116" t="s">
        <v>788</v>
      </c>
      <c r="C129" s="107" t="s">
        <v>585</v>
      </c>
      <c r="D129" s="55" t="s">
        <v>238</v>
      </c>
      <c r="E129" s="71" t="s">
        <v>27</v>
      </c>
      <c r="F129" s="58">
        <v>7</v>
      </c>
      <c r="G129" s="58">
        <v>45.46</v>
      </c>
      <c r="H129" s="58">
        <f t="shared" si="27"/>
        <v>57.86</v>
      </c>
      <c r="I129" s="14">
        <f t="shared" si="28"/>
        <v>405.02</v>
      </c>
      <c r="J129" s="52">
        <f>(I129/$I$149)*100</f>
        <v>0.12431221906058483</v>
      </c>
    </row>
    <row r="130" spans="1:10" ht="15" customHeight="1" x14ac:dyDescent="0.25">
      <c r="A130" s="3"/>
      <c r="B130" s="29"/>
      <c r="C130" s="105"/>
      <c r="D130" s="64" t="s">
        <v>22</v>
      </c>
      <c r="E130" s="77"/>
      <c r="F130" s="46"/>
      <c r="G130" s="46"/>
      <c r="H130" s="46"/>
      <c r="I130" s="66">
        <f>SUM(I127:I129)</f>
        <v>4702.3799999999992</v>
      </c>
      <c r="J130" s="74">
        <f>(I130/$I$149)*100</f>
        <v>1.4432948809098634</v>
      </c>
    </row>
    <row r="131" spans="1:10" s="8" customFormat="1" ht="15" customHeight="1" x14ac:dyDescent="0.25">
      <c r="A131" s="2"/>
      <c r="B131" s="116" t="s">
        <v>352</v>
      </c>
      <c r="C131" s="113"/>
      <c r="D131" s="56" t="s">
        <v>277</v>
      </c>
      <c r="E131" s="71"/>
      <c r="F131" s="65"/>
      <c r="G131" s="14"/>
      <c r="H131" s="14"/>
      <c r="I131" s="14"/>
      <c r="J131" s="52"/>
    </row>
    <row r="132" spans="1:10" ht="74.25" customHeight="1" x14ac:dyDescent="0.25">
      <c r="B132" s="109" t="s">
        <v>789</v>
      </c>
      <c r="C132" s="108" t="s">
        <v>549</v>
      </c>
      <c r="D132" s="63" t="s">
        <v>278</v>
      </c>
      <c r="E132" s="70" t="s">
        <v>21</v>
      </c>
      <c r="F132" s="14">
        <v>32.67</v>
      </c>
      <c r="G132" s="14">
        <v>3.16</v>
      </c>
      <c r="H132" s="58">
        <f t="shared" ref="H132:H133" si="29">TRUNC(G132*$J$13,2)</f>
        <v>4.0199999999999996</v>
      </c>
      <c r="I132" s="14">
        <f t="shared" ref="I132:I133" si="30">TRUNC(F132*H132,2)</f>
        <v>131.33000000000001</v>
      </c>
      <c r="J132" s="52">
        <f>(I132/$I$149)*100</f>
        <v>4.0308932223659596E-2</v>
      </c>
    </row>
    <row r="133" spans="1:10" ht="106.5" customHeight="1" x14ac:dyDescent="0.25">
      <c r="B133" s="109" t="s">
        <v>790</v>
      </c>
      <c r="C133" s="108" t="s">
        <v>552</v>
      </c>
      <c r="D133" s="63" t="s">
        <v>279</v>
      </c>
      <c r="E133" s="70" t="s">
        <v>21</v>
      </c>
      <c r="F133" s="14">
        <v>32.67</v>
      </c>
      <c r="G133" s="14">
        <v>28.04</v>
      </c>
      <c r="H133" s="58">
        <f t="shared" si="29"/>
        <v>35.69</v>
      </c>
      <c r="I133" s="14">
        <f t="shared" si="30"/>
        <v>1165.99</v>
      </c>
      <c r="J133" s="52">
        <f>(I133/$I$149)*100</f>
        <v>0.35787567108402379</v>
      </c>
    </row>
    <row r="134" spans="1:10" ht="15" customHeight="1" x14ac:dyDescent="0.25">
      <c r="A134" s="3"/>
      <c r="B134" s="29"/>
      <c r="C134" s="105"/>
      <c r="D134" s="64" t="s">
        <v>22</v>
      </c>
      <c r="E134" s="77"/>
      <c r="F134" s="46"/>
      <c r="G134" s="46"/>
      <c r="H134" s="46"/>
      <c r="I134" s="66">
        <f>SUM(I132:I133)</f>
        <v>1297.32</v>
      </c>
      <c r="J134" s="74">
        <f>(I134/$I$149)*100</f>
        <v>0.39818460330768335</v>
      </c>
    </row>
    <row r="135" spans="1:10" s="8" customFormat="1" ht="15" customHeight="1" x14ac:dyDescent="0.25">
      <c r="A135" s="2"/>
      <c r="B135" s="116" t="s">
        <v>353</v>
      </c>
      <c r="C135" s="113"/>
      <c r="D135" s="56" t="s">
        <v>31</v>
      </c>
      <c r="E135" s="71"/>
      <c r="F135" s="65"/>
      <c r="G135" s="14"/>
      <c r="H135" s="14"/>
      <c r="I135" s="14"/>
      <c r="J135" s="52"/>
    </row>
    <row r="136" spans="1:10" s="8" customFormat="1" ht="102" customHeight="1" x14ac:dyDescent="0.25">
      <c r="A136" s="2"/>
      <c r="B136" s="116" t="s">
        <v>791</v>
      </c>
      <c r="C136" s="113" t="s">
        <v>619</v>
      </c>
      <c r="D136" s="197" t="s">
        <v>621</v>
      </c>
      <c r="E136" s="71" t="s">
        <v>21</v>
      </c>
      <c r="F136" s="65">
        <v>105.8</v>
      </c>
      <c r="G136" s="14">
        <v>33.89</v>
      </c>
      <c r="H136" s="58">
        <f t="shared" ref="H136:H137" si="31">TRUNC(G136*$J$13,2)</f>
        <v>43.13</v>
      </c>
      <c r="I136" s="14">
        <f t="shared" ref="I136:I137" si="32">TRUNC(F136*H136,2)</f>
        <v>4563.1499999999996</v>
      </c>
      <c r="J136" s="52">
        <f>(I136/$I$149)*100</f>
        <v>1.4005612127951894</v>
      </c>
    </row>
    <row r="137" spans="1:10" s="8" customFormat="1" ht="39.75" customHeight="1" x14ac:dyDescent="0.25">
      <c r="A137" s="2"/>
      <c r="B137" s="116" t="s">
        <v>792</v>
      </c>
      <c r="C137" s="32" t="s">
        <v>710</v>
      </c>
      <c r="D137" s="115" t="s">
        <v>821</v>
      </c>
      <c r="E137" s="34" t="s">
        <v>21</v>
      </c>
      <c r="F137" s="65">
        <v>173.71</v>
      </c>
      <c r="G137" s="14">
        <v>6.75</v>
      </c>
      <c r="H137" s="58">
        <f t="shared" si="31"/>
        <v>8.59</v>
      </c>
      <c r="I137" s="14">
        <f t="shared" si="32"/>
        <v>1492.16</v>
      </c>
      <c r="J137" s="52">
        <f>(I137/$I$149)*100</f>
        <v>0.45798657052353536</v>
      </c>
    </row>
    <row r="138" spans="1:10" ht="15" customHeight="1" x14ac:dyDescent="0.25">
      <c r="A138" s="3"/>
      <c r="B138" s="29"/>
      <c r="C138" s="105"/>
      <c r="D138" s="64" t="s">
        <v>22</v>
      </c>
      <c r="E138" s="77"/>
      <c r="F138" s="46"/>
      <c r="G138" s="46"/>
      <c r="H138" s="46"/>
      <c r="I138" s="68">
        <f>SUM(I136:I137)</f>
        <v>6055.3099999999995</v>
      </c>
      <c r="J138" s="74">
        <f>(I138/$I$149)*100</f>
        <v>1.8585477833187247</v>
      </c>
    </row>
    <row r="139" spans="1:10" s="8" customFormat="1" ht="15" customHeight="1" x14ac:dyDescent="0.25">
      <c r="A139" s="2"/>
      <c r="B139" s="116" t="s">
        <v>674</v>
      </c>
      <c r="C139" s="113"/>
      <c r="D139" s="56" t="s">
        <v>32</v>
      </c>
      <c r="E139" s="71"/>
      <c r="F139" s="65"/>
      <c r="G139" s="14"/>
      <c r="H139" s="14"/>
      <c r="I139" s="14"/>
      <c r="J139" s="52"/>
    </row>
    <row r="140" spans="1:10" ht="34.5" customHeight="1" x14ac:dyDescent="0.25">
      <c r="B140" s="109" t="s">
        <v>793</v>
      </c>
      <c r="C140" s="113" t="s">
        <v>586</v>
      </c>
      <c r="D140" s="119" t="s">
        <v>25</v>
      </c>
      <c r="E140" s="71" t="s">
        <v>24</v>
      </c>
      <c r="F140" s="14">
        <v>29.58</v>
      </c>
      <c r="G140" s="38">
        <v>21.58</v>
      </c>
      <c r="H140" s="58">
        <f t="shared" ref="H140:H142" si="33">TRUNC(G140*$J$13,2)</f>
        <v>27.46</v>
      </c>
      <c r="I140" s="14">
        <f t="shared" ref="I140:I142" si="34">TRUNC(F140*H140,2)</f>
        <v>812.26</v>
      </c>
      <c r="J140" s="52">
        <f>(I140/$I$149)*100</f>
        <v>0.24930581959940407</v>
      </c>
    </row>
    <row r="141" spans="1:10" ht="49.5" customHeight="1" x14ac:dyDescent="0.25">
      <c r="B141" s="109" t="s">
        <v>794</v>
      </c>
      <c r="C141" s="113" t="s">
        <v>408</v>
      </c>
      <c r="D141" s="119" t="s">
        <v>226</v>
      </c>
      <c r="E141" s="71" t="s">
        <v>26</v>
      </c>
      <c r="F141" s="14">
        <v>393.41</v>
      </c>
      <c r="G141" s="13">
        <v>1.5</v>
      </c>
      <c r="H141" s="58">
        <f t="shared" si="33"/>
        <v>1.9</v>
      </c>
      <c r="I141" s="14">
        <f t="shared" si="34"/>
        <v>747.47</v>
      </c>
      <c r="J141" s="52">
        <f>(I141/$I$149)*100</f>
        <v>0.22941991600714867</v>
      </c>
    </row>
    <row r="142" spans="1:10" ht="48.75" customHeight="1" x14ac:dyDescent="0.25">
      <c r="B142" s="109" t="s">
        <v>795</v>
      </c>
      <c r="C142" s="32" t="s">
        <v>409</v>
      </c>
      <c r="D142" s="81" t="s">
        <v>115</v>
      </c>
      <c r="E142" s="69" t="s">
        <v>24</v>
      </c>
      <c r="F142" s="14">
        <v>29.58</v>
      </c>
      <c r="G142" s="85">
        <v>1.63</v>
      </c>
      <c r="H142" s="58">
        <f t="shared" si="33"/>
        <v>2.0699999999999998</v>
      </c>
      <c r="I142" s="14">
        <f t="shared" si="34"/>
        <v>61.23</v>
      </c>
      <c r="J142" s="52">
        <f>(I142/$I$149)*100</f>
        <v>1.8793237798329983E-2</v>
      </c>
    </row>
    <row r="143" spans="1:10" ht="15" customHeight="1" x14ac:dyDescent="0.25">
      <c r="A143" s="3"/>
      <c r="B143" s="29"/>
      <c r="C143" s="105"/>
      <c r="D143" s="64" t="s">
        <v>22</v>
      </c>
      <c r="E143" s="77"/>
      <c r="F143" s="46"/>
      <c r="G143" s="46"/>
      <c r="H143" s="46"/>
      <c r="I143" s="66">
        <f>SUM(I140:I142)</f>
        <v>1620.96</v>
      </c>
      <c r="J143" s="74">
        <f>(I143/$I$149)*100</f>
        <v>0.49751897340488277</v>
      </c>
    </row>
    <row r="144" spans="1:10" ht="15" customHeight="1" x14ac:dyDescent="0.25">
      <c r="A144" s="3"/>
      <c r="B144" s="29"/>
      <c r="C144" s="105"/>
      <c r="D144" s="64"/>
      <c r="E144" s="77"/>
      <c r="F144" s="46"/>
      <c r="G144" s="46"/>
      <c r="H144" s="46"/>
      <c r="I144" s="66"/>
      <c r="J144" s="74"/>
    </row>
    <row r="145" spans="1:10" ht="15" customHeight="1" x14ac:dyDescent="0.25">
      <c r="A145" s="3"/>
      <c r="B145" s="29"/>
      <c r="C145" s="105"/>
      <c r="D145" s="64"/>
      <c r="E145" s="77"/>
      <c r="F145" s="46"/>
      <c r="G145" s="46"/>
      <c r="H145" s="46"/>
      <c r="I145" s="66"/>
      <c r="J145" s="74"/>
    </row>
    <row r="146" spans="1:10" ht="15" customHeight="1" x14ac:dyDescent="0.25">
      <c r="A146" s="3"/>
      <c r="B146" s="29"/>
      <c r="C146" s="105"/>
      <c r="D146" s="64"/>
      <c r="E146" s="77"/>
      <c r="F146" s="46"/>
      <c r="G146" s="46"/>
      <c r="H146" s="46"/>
      <c r="I146" s="66"/>
      <c r="J146" s="74"/>
    </row>
    <row r="147" spans="1:10" s="20" customFormat="1" ht="23.1" customHeight="1" x14ac:dyDescent="0.2">
      <c r="B147" s="4"/>
      <c r="C147" s="114"/>
      <c r="D147" s="72" t="s">
        <v>796</v>
      </c>
      <c r="E147" s="73" t="s">
        <v>5</v>
      </c>
      <c r="F147" s="7">
        <v>27.29</v>
      </c>
      <c r="G147" s="7"/>
      <c r="H147" s="7"/>
      <c r="I147" s="7">
        <f>I25+I34+I46+I64+I76+I106+I114+I121+I125+I130+I134+I138+I143</f>
        <v>272824.2900000001</v>
      </c>
      <c r="J147" s="74">
        <f>(I147/$I$149)*100</f>
        <v>83.737575683987302</v>
      </c>
    </row>
    <row r="148" spans="1:10" s="20" customFormat="1" ht="23.1" customHeight="1" x14ac:dyDescent="0.2">
      <c r="B148" s="4"/>
      <c r="C148" s="114"/>
      <c r="D148" s="72" t="s">
        <v>797</v>
      </c>
      <c r="E148" s="73" t="s">
        <v>5</v>
      </c>
      <c r="F148" s="7">
        <v>8.36</v>
      </c>
      <c r="G148" s="7"/>
      <c r="H148" s="7"/>
      <c r="I148" s="7">
        <f>I71</f>
        <v>52984.39</v>
      </c>
      <c r="J148" s="74">
        <f>(I148/$I$149)*100</f>
        <v>16.262424316012691</v>
      </c>
    </row>
    <row r="149" spans="1:10" s="20" customFormat="1" ht="23.1" customHeight="1" x14ac:dyDescent="0.2">
      <c r="B149" s="4"/>
      <c r="C149" s="114"/>
      <c r="D149" s="19" t="s">
        <v>18</v>
      </c>
      <c r="E149" s="22"/>
      <c r="F149" s="7"/>
      <c r="G149" s="7"/>
      <c r="H149" s="7"/>
      <c r="I149" s="7">
        <f>SUM(I147:I148)</f>
        <v>325808.68000000011</v>
      </c>
      <c r="J149" s="74">
        <f>(I149/$I$149)*100</f>
        <v>100</v>
      </c>
    </row>
  </sheetData>
  <mergeCells count="23">
    <mergeCell ref="H17:H18"/>
    <mergeCell ref="I17:I18"/>
    <mergeCell ref="G17:G18"/>
    <mergeCell ref="J17:J18"/>
    <mergeCell ref="B17:B18"/>
    <mergeCell ref="C17:C18"/>
    <mergeCell ref="D17:D18"/>
    <mergeCell ref="E17:E18"/>
    <mergeCell ref="F17:F18"/>
    <mergeCell ref="B11:J11"/>
    <mergeCell ref="G16:J16"/>
    <mergeCell ref="D8:F8"/>
    <mergeCell ref="D9:F9"/>
    <mergeCell ref="D10:F10"/>
    <mergeCell ref="H8:J8"/>
    <mergeCell ref="H9:J9"/>
    <mergeCell ref="H10:J10"/>
    <mergeCell ref="D3:F3"/>
    <mergeCell ref="D4:F4"/>
    <mergeCell ref="D5:F5"/>
    <mergeCell ref="D6:F6"/>
    <mergeCell ref="H7:J7"/>
    <mergeCell ref="D7:F7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headerFooter>
    <oddFooter>&amp;CFolha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3" sqref="K1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Composição de Preços COM Desone</vt:lpstr>
      <vt:lpstr>ORÇAMENTO COM Desoneração</vt:lpstr>
      <vt:lpstr>Plan1</vt:lpstr>
    </vt:vector>
  </TitlesOfParts>
  <Company>PMVR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ippu</dc:creator>
  <cp:lastModifiedBy>Afonso Maria Vilela de Brito</cp:lastModifiedBy>
  <cp:lastPrinted>2019-06-11T11:57:14Z</cp:lastPrinted>
  <dcterms:created xsi:type="dcterms:W3CDTF">2007-05-03T19:44:03Z</dcterms:created>
  <dcterms:modified xsi:type="dcterms:W3CDTF">2019-06-11T13:42:13Z</dcterms:modified>
</cp:coreProperties>
</file>